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120" yWindow="75" windowWidth="15180" windowHeight="9345" activeTab="6"/>
  </bookViews>
  <sheets>
    <sheet name="Vorgaben" sheetId="8" r:id="rId1"/>
    <sheet name="SchILD-Export" sheetId="22" r:id="rId2"/>
    <sheet name="Deutsch" sheetId="7" r:id="rId3"/>
    <sheet name="Fremdsprache" sheetId="19" r:id="rId4"/>
    <sheet name="Mathematik" sheetId="20" r:id="rId5"/>
    <sheet name="Übersicht" sheetId="17" r:id="rId6"/>
    <sheet name="Mitteilungen" sheetId="18" r:id="rId7"/>
    <sheet name="Muster" sheetId="15" r:id="rId8"/>
    <sheet name="mdl Prf" sheetId="1" r:id="rId9"/>
    <sheet name="Anleitung" sheetId="16" r:id="rId10"/>
  </sheets>
  <definedNames>
    <definedName name="_xlnm.Print_Area" localSheetId="9">Anleitung!$A$1:$A$55</definedName>
    <definedName name="_xlnm.Print_Area" localSheetId="2">Deutsch!$A$16:$AA$65</definedName>
    <definedName name="_xlnm.Print_Area" localSheetId="3">Fremdsprache!$A$16:$AA$65</definedName>
    <definedName name="_xlnm.Print_Area" localSheetId="4">Mathematik!$A$16:$AA$65</definedName>
    <definedName name="_xlnm.Print_Area" localSheetId="8">'mdl Prf'!$A$1:$S$36</definedName>
    <definedName name="_xlnm.Print_Area" localSheetId="6">Mitteilungen!$B$8:$I$70</definedName>
    <definedName name="_xlnm.Print_Area" localSheetId="7">Muster!$A$16:$AA$65</definedName>
    <definedName name="_xlnm.Print_Area" localSheetId="1">'SchILD-Export'!$A$17:$C$126</definedName>
    <definedName name="_xlnm.Print_Area" localSheetId="5">Übersicht!$A$14:$AI$65</definedName>
    <definedName name="_xlnm.Print_Area" localSheetId="0">Vorgaben!$A$17:$H$55</definedName>
    <definedName name="OLE_LINK1" localSheetId="8">'mdl Prf'!$A$1</definedName>
  </definedNames>
  <calcPr calcId="145621" refMode="R1C1"/>
</workbook>
</file>

<file path=xl/calcChain.xml><?xml version="1.0" encoding="utf-8"?>
<calcChain xmlns="http://schemas.openxmlformats.org/spreadsheetml/2006/main">
  <c r="B45" i="18" l="1"/>
  <c r="E19" i="19" l="1"/>
  <c r="H15" i="8" l="1"/>
  <c r="E4" i="7" l="1"/>
  <c r="E16" i="7" s="1"/>
  <c r="C19" i="17"/>
  <c r="C19" i="7"/>
  <c r="C19" i="19"/>
  <c r="J19" i="19"/>
  <c r="L19" i="19" s="1"/>
  <c r="V19" i="17" s="1"/>
  <c r="C19" i="20"/>
  <c r="J19" i="20" s="1"/>
  <c r="AD19" i="20" s="1"/>
  <c r="C15" i="18"/>
  <c r="G3" i="8"/>
  <c r="C17" i="18" s="1"/>
  <c r="G6" i="8"/>
  <c r="C5" i="22" s="1"/>
  <c r="H13" i="8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Z54" i="20" s="1"/>
  <c r="G54" i="8"/>
  <c r="H16" i="8"/>
  <c r="A19" i="19"/>
  <c r="F21" i="18" s="1"/>
  <c r="F22" i="18" s="1"/>
  <c r="C20" i="19"/>
  <c r="C21" i="19"/>
  <c r="C22" i="19"/>
  <c r="C23" i="19"/>
  <c r="C24" i="19"/>
  <c r="C25" i="19"/>
  <c r="C26" i="19"/>
  <c r="E26" i="19" s="1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Z53" i="20"/>
  <c r="G53" i="8"/>
  <c r="Z53" i="19"/>
  <c r="Z53" i="7"/>
  <c r="G52" i="8"/>
  <c r="Z51" i="20"/>
  <c r="G51" i="8"/>
  <c r="Z51" i="19"/>
  <c r="Z51" i="7"/>
  <c r="Z50" i="20"/>
  <c r="G50" i="8"/>
  <c r="Z49" i="20"/>
  <c r="G49" i="8"/>
  <c r="Z49" i="19"/>
  <c r="Z49" i="7"/>
  <c r="G48" i="8"/>
  <c r="Z47" i="20"/>
  <c r="G47" i="8"/>
  <c r="Z47" i="19"/>
  <c r="Z47" i="7"/>
  <c r="Z46" i="20"/>
  <c r="G46" i="8"/>
  <c r="Z45" i="20"/>
  <c r="G45" i="8"/>
  <c r="Z45" i="19"/>
  <c r="Z45" i="7"/>
  <c r="G44" i="8"/>
  <c r="Z43" i="20"/>
  <c r="G43" i="8"/>
  <c r="Z43" i="19"/>
  <c r="Z43" i="7"/>
  <c r="Z42" i="20"/>
  <c r="G42" i="8"/>
  <c r="Z41" i="20"/>
  <c r="G41" i="8"/>
  <c r="Z41" i="19"/>
  <c r="Z41" i="7"/>
  <c r="G40" i="8"/>
  <c r="Z39" i="20"/>
  <c r="G39" i="8"/>
  <c r="Z39" i="19"/>
  <c r="Z39" i="7"/>
  <c r="Z38" i="20"/>
  <c r="G38" i="8"/>
  <c r="Z37" i="20"/>
  <c r="G37" i="8"/>
  <c r="Z37" i="19"/>
  <c r="Z37" i="7"/>
  <c r="G36" i="8"/>
  <c r="Z35" i="20"/>
  <c r="G35" i="8"/>
  <c r="Z35" i="19"/>
  <c r="Z35" i="7"/>
  <c r="Z34" i="20"/>
  <c r="G34" i="8"/>
  <c r="Z33" i="20"/>
  <c r="G33" i="8"/>
  <c r="Z33" i="19"/>
  <c r="Z33" i="7"/>
  <c r="G32" i="8"/>
  <c r="Z31" i="20"/>
  <c r="G31" i="8"/>
  <c r="Z31" i="19"/>
  <c r="Z31" i="7"/>
  <c r="Z30" i="20"/>
  <c r="G30" i="8"/>
  <c r="Z29" i="20"/>
  <c r="G29" i="8"/>
  <c r="Z29" i="7"/>
  <c r="G28" i="8"/>
  <c r="Z28" i="19"/>
  <c r="Z27" i="20"/>
  <c r="G27" i="8"/>
  <c r="Z27" i="19"/>
  <c r="Z27" i="7"/>
  <c r="Z26" i="20"/>
  <c r="G26" i="8"/>
  <c r="Z25" i="20"/>
  <c r="G25" i="8"/>
  <c r="Z25" i="19"/>
  <c r="Z25" i="7"/>
  <c r="G24" i="8"/>
  <c r="Z24" i="19"/>
  <c r="Z23" i="20"/>
  <c r="G23" i="8"/>
  <c r="Z23" i="19"/>
  <c r="Z23" i="7"/>
  <c r="Z22" i="20"/>
  <c r="G22" i="8"/>
  <c r="Z21" i="20"/>
  <c r="G21" i="8"/>
  <c r="Z21" i="19"/>
  <c r="G20" i="8"/>
  <c r="G19" i="8"/>
  <c r="N1" i="8"/>
  <c r="N2" i="8" s="1"/>
  <c r="C1" i="16"/>
  <c r="B1" i="16"/>
  <c r="A13" i="16" s="1"/>
  <c r="AB19" i="17"/>
  <c r="C54" i="17"/>
  <c r="J54" i="20"/>
  <c r="L54" i="20"/>
  <c r="C53" i="17"/>
  <c r="J53" i="20"/>
  <c r="L53" i="20" s="1"/>
  <c r="C52" i="17"/>
  <c r="C51" i="17"/>
  <c r="J51" i="20"/>
  <c r="L51" i="20" s="1"/>
  <c r="C50" i="17"/>
  <c r="J50" i="20"/>
  <c r="L50" i="20"/>
  <c r="C49" i="17"/>
  <c r="J49" i="20"/>
  <c r="L49" i="20" s="1"/>
  <c r="C48" i="17"/>
  <c r="C47" i="17"/>
  <c r="J47" i="20"/>
  <c r="L47" i="20" s="1"/>
  <c r="C46" i="17"/>
  <c r="J46" i="20"/>
  <c r="L46" i="20"/>
  <c r="C45" i="17"/>
  <c r="J45" i="20"/>
  <c r="L45" i="20" s="1"/>
  <c r="C44" i="17"/>
  <c r="C43" i="17"/>
  <c r="J43" i="20"/>
  <c r="L43" i="20" s="1"/>
  <c r="C42" i="17"/>
  <c r="J42" i="20"/>
  <c r="L42" i="20"/>
  <c r="C41" i="17"/>
  <c r="J41" i="20"/>
  <c r="L41" i="20" s="1"/>
  <c r="C40" i="17"/>
  <c r="C39" i="17"/>
  <c r="J39" i="20"/>
  <c r="L39" i="20" s="1"/>
  <c r="C38" i="17"/>
  <c r="J38" i="20"/>
  <c r="L38" i="20"/>
  <c r="C37" i="17"/>
  <c r="J37" i="20"/>
  <c r="L37" i="20" s="1"/>
  <c r="C36" i="17"/>
  <c r="C35" i="17"/>
  <c r="J35" i="20"/>
  <c r="L35" i="20" s="1"/>
  <c r="C34" i="17"/>
  <c r="J34" i="20"/>
  <c r="L34" i="20"/>
  <c r="C33" i="17"/>
  <c r="J33" i="20"/>
  <c r="L33" i="20" s="1"/>
  <c r="C32" i="17"/>
  <c r="C31" i="17"/>
  <c r="J31" i="20"/>
  <c r="L31" i="20" s="1"/>
  <c r="C30" i="17"/>
  <c r="J30" i="20"/>
  <c r="L30" i="20"/>
  <c r="C29" i="17"/>
  <c r="J29" i="20"/>
  <c r="L29" i="20" s="1"/>
  <c r="C28" i="17"/>
  <c r="C27" i="17"/>
  <c r="J27" i="20"/>
  <c r="L27" i="20" s="1"/>
  <c r="C26" i="17"/>
  <c r="J26" i="20"/>
  <c r="L26" i="20" s="1"/>
  <c r="R26" i="20" s="1"/>
  <c r="C25" i="17"/>
  <c r="J25" i="20"/>
  <c r="L25" i="20" s="1"/>
  <c r="C24" i="17"/>
  <c r="C23" i="17"/>
  <c r="J23" i="20"/>
  <c r="L23" i="20" s="1"/>
  <c r="C22" i="17"/>
  <c r="J22" i="20"/>
  <c r="L22" i="20"/>
  <c r="C21" i="17"/>
  <c r="J21" i="20"/>
  <c r="L21" i="20" s="1"/>
  <c r="C20" i="17"/>
  <c r="J53" i="19"/>
  <c r="L53" i="19"/>
  <c r="V53" i="17" s="1"/>
  <c r="J51" i="19"/>
  <c r="L51" i="19"/>
  <c r="V51" i="17" s="1"/>
  <c r="J49" i="19"/>
  <c r="L49" i="19"/>
  <c r="V49" i="17" s="1"/>
  <c r="J47" i="19"/>
  <c r="L47" i="19"/>
  <c r="V47" i="17" s="1"/>
  <c r="J45" i="19"/>
  <c r="L45" i="19"/>
  <c r="V45" i="17" s="1"/>
  <c r="J43" i="19"/>
  <c r="L43" i="19"/>
  <c r="V43" i="17" s="1"/>
  <c r="J41" i="19"/>
  <c r="L41" i="19"/>
  <c r="V41" i="17" s="1"/>
  <c r="J39" i="19"/>
  <c r="L39" i="19"/>
  <c r="V39" i="17" s="1"/>
  <c r="J37" i="19"/>
  <c r="L37" i="19"/>
  <c r="J35" i="19"/>
  <c r="L35" i="19"/>
  <c r="J33" i="19"/>
  <c r="L33" i="19"/>
  <c r="V33" i="17" s="1"/>
  <c r="J31" i="19"/>
  <c r="L31" i="19" s="1"/>
  <c r="V31" i="17" s="1"/>
  <c r="J29" i="19"/>
  <c r="L29" i="19"/>
  <c r="V29" i="17" s="1"/>
  <c r="J27" i="19"/>
  <c r="L27" i="19" s="1"/>
  <c r="V27" i="17" s="1"/>
  <c r="J25" i="19"/>
  <c r="L25" i="19"/>
  <c r="V25" i="17" s="1"/>
  <c r="J23" i="19"/>
  <c r="L23" i="19" s="1"/>
  <c r="V23" i="17" s="1"/>
  <c r="J21" i="19"/>
  <c r="L21" i="19"/>
  <c r="V21" i="17" s="1"/>
  <c r="J54" i="7"/>
  <c r="V54" i="7" s="1"/>
  <c r="J53" i="7"/>
  <c r="L53" i="7" s="1"/>
  <c r="J51" i="7"/>
  <c r="L51" i="7" s="1"/>
  <c r="J50" i="7"/>
  <c r="J49" i="7"/>
  <c r="L49" i="7" s="1"/>
  <c r="J47" i="7"/>
  <c r="L47" i="7" s="1"/>
  <c r="J46" i="7"/>
  <c r="T46" i="7" s="1"/>
  <c r="J45" i="7"/>
  <c r="L45" i="7" s="1"/>
  <c r="J43" i="7"/>
  <c r="L43" i="7" s="1"/>
  <c r="J42" i="7"/>
  <c r="T42" i="7" s="1"/>
  <c r="J41" i="7"/>
  <c r="L41" i="7" s="1"/>
  <c r="J39" i="7"/>
  <c r="L39" i="7" s="1"/>
  <c r="J38" i="7"/>
  <c r="V38" i="7" s="1"/>
  <c r="J37" i="7"/>
  <c r="L37" i="7" s="1"/>
  <c r="J35" i="7"/>
  <c r="L35" i="7" s="1"/>
  <c r="J34" i="7"/>
  <c r="T34" i="7" s="1"/>
  <c r="J33" i="7"/>
  <c r="L33" i="7" s="1"/>
  <c r="J31" i="7"/>
  <c r="L31" i="7" s="1"/>
  <c r="J30" i="7"/>
  <c r="V30" i="7" s="1"/>
  <c r="J29" i="7"/>
  <c r="L29" i="7" s="1"/>
  <c r="J27" i="7"/>
  <c r="L27" i="7" s="1"/>
  <c r="J26" i="7"/>
  <c r="T26" i="7" s="1"/>
  <c r="J25" i="7"/>
  <c r="L25" i="7" s="1"/>
  <c r="J23" i="7"/>
  <c r="L23" i="7" s="1"/>
  <c r="J22" i="7"/>
  <c r="V22" i="7" s="1"/>
  <c r="J21" i="7"/>
  <c r="L21" i="7" s="1"/>
  <c r="N53" i="17"/>
  <c r="N51" i="17"/>
  <c r="N49" i="17"/>
  <c r="N47" i="17"/>
  <c r="N45" i="17"/>
  <c r="N43" i="17"/>
  <c r="N41" i="17"/>
  <c r="N39" i="17"/>
  <c r="N37" i="17"/>
  <c r="N35" i="17"/>
  <c r="N33" i="17"/>
  <c r="N31" i="17"/>
  <c r="N29" i="17"/>
  <c r="N27" i="17"/>
  <c r="N25" i="17"/>
  <c r="N23" i="17"/>
  <c r="Z21" i="7"/>
  <c r="V21" i="7"/>
  <c r="T54" i="7"/>
  <c r="AD54" i="7"/>
  <c r="AD53" i="7"/>
  <c r="AD51" i="7"/>
  <c r="AD50" i="7"/>
  <c r="AD49" i="7"/>
  <c r="AD47" i="7"/>
  <c r="AD46" i="7"/>
  <c r="AD45" i="7"/>
  <c r="AD43" i="7"/>
  <c r="AD42" i="7"/>
  <c r="AD41" i="7"/>
  <c r="AD39" i="7"/>
  <c r="AD38" i="7"/>
  <c r="AD37" i="7"/>
  <c r="AD35" i="7"/>
  <c r="AD34" i="7"/>
  <c r="AD33" i="7"/>
  <c r="AD31" i="7"/>
  <c r="AD30" i="7"/>
  <c r="AD29" i="7"/>
  <c r="AD27" i="7"/>
  <c r="AD25" i="7"/>
  <c r="AD23" i="7"/>
  <c r="AD22" i="7"/>
  <c r="G4" i="8"/>
  <c r="G5" i="8" s="1"/>
  <c r="C15" i="17" s="1"/>
  <c r="T47" i="7"/>
  <c r="V47" i="7"/>
  <c r="X47" i="7"/>
  <c r="AA47" i="7"/>
  <c r="T45" i="7"/>
  <c r="V45" i="7"/>
  <c r="X45" i="7"/>
  <c r="AA45" i="7"/>
  <c r="T43" i="7"/>
  <c r="V43" i="7"/>
  <c r="X43" i="7"/>
  <c r="AA43" i="7"/>
  <c r="X42" i="7"/>
  <c r="T41" i="7"/>
  <c r="V41" i="7"/>
  <c r="X41" i="7"/>
  <c r="AA41" i="7"/>
  <c r="T39" i="7"/>
  <c r="V39" i="7"/>
  <c r="X39" i="7"/>
  <c r="AA39" i="7"/>
  <c r="T38" i="7"/>
  <c r="T37" i="7"/>
  <c r="V37" i="7"/>
  <c r="X37" i="7"/>
  <c r="AA37" i="7"/>
  <c r="T35" i="7"/>
  <c r="V35" i="7"/>
  <c r="X35" i="7"/>
  <c r="AA35" i="7"/>
  <c r="X34" i="7"/>
  <c r="T33" i="7"/>
  <c r="V33" i="7"/>
  <c r="X33" i="7"/>
  <c r="AA33" i="7"/>
  <c r="T31" i="7"/>
  <c r="V31" i="7"/>
  <c r="X31" i="7"/>
  <c r="AA31" i="7"/>
  <c r="T30" i="7"/>
  <c r="T29" i="7"/>
  <c r="V29" i="7"/>
  <c r="X29" i="7"/>
  <c r="AA29" i="7"/>
  <c r="T27" i="7"/>
  <c r="V27" i="7"/>
  <c r="X27" i="7"/>
  <c r="AA27" i="7"/>
  <c r="T25" i="7"/>
  <c r="V25" i="7"/>
  <c r="X25" i="7"/>
  <c r="AA25" i="7"/>
  <c r="T23" i="7"/>
  <c r="V23" i="7"/>
  <c r="X23" i="7"/>
  <c r="AA23" i="7"/>
  <c r="T22" i="7"/>
  <c r="AD21" i="7"/>
  <c r="V46" i="7"/>
  <c r="X46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H55" i="7"/>
  <c r="F55" i="7"/>
  <c r="C17" i="7"/>
  <c r="D48" i="7"/>
  <c r="AA53" i="7"/>
  <c r="X53" i="7"/>
  <c r="V53" i="7"/>
  <c r="T53" i="7"/>
  <c r="AA51" i="7"/>
  <c r="X51" i="7"/>
  <c r="V51" i="7"/>
  <c r="T51" i="7"/>
  <c r="X50" i="7"/>
  <c r="V50" i="7"/>
  <c r="T50" i="7"/>
  <c r="X49" i="7"/>
  <c r="V49" i="7"/>
  <c r="T49" i="7"/>
  <c r="D54" i="7"/>
  <c r="D53" i="7"/>
  <c r="D52" i="7"/>
  <c r="D51" i="7"/>
  <c r="D50" i="7"/>
  <c r="D49" i="7"/>
  <c r="AA49" i="7"/>
  <c r="E54" i="19"/>
  <c r="E53" i="19"/>
  <c r="E52" i="19"/>
  <c r="E51" i="19"/>
  <c r="E50" i="19"/>
  <c r="E49" i="19"/>
  <c r="E48" i="19"/>
  <c r="E47" i="19"/>
  <c r="E46" i="19"/>
  <c r="E45" i="19"/>
  <c r="E44" i="19"/>
  <c r="E43" i="19"/>
  <c r="E42" i="19"/>
  <c r="E41" i="19"/>
  <c r="E40" i="19"/>
  <c r="E39" i="19"/>
  <c r="E38" i="19"/>
  <c r="E37" i="19"/>
  <c r="E36" i="19"/>
  <c r="R19" i="19"/>
  <c r="T19" i="19"/>
  <c r="X19" i="19"/>
  <c r="K15" i="8"/>
  <c r="K16" i="8"/>
  <c r="I15" i="8"/>
  <c r="I16" i="8"/>
  <c r="AD53" i="19"/>
  <c r="AD51" i="19"/>
  <c r="AD49" i="19"/>
  <c r="AD47" i="19"/>
  <c r="AD45" i="19"/>
  <c r="AD43" i="19"/>
  <c r="AD41" i="19"/>
  <c r="AD39" i="19"/>
  <c r="AD37" i="19"/>
  <c r="AD35" i="19"/>
  <c r="AD33" i="19"/>
  <c r="AD31" i="19"/>
  <c r="AD29" i="19"/>
  <c r="AD27" i="19"/>
  <c r="AD25" i="19"/>
  <c r="AD23" i="19"/>
  <c r="AD21" i="19"/>
  <c r="AD19" i="19"/>
  <c r="V19" i="19" s="1"/>
  <c r="E35" i="19"/>
  <c r="E34" i="19"/>
  <c r="E33" i="19"/>
  <c r="E32" i="19"/>
  <c r="E31" i="19"/>
  <c r="E30" i="19"/>
  <c r="E29" i="19"/>
  <c r="E28" i="19"/>
  <c r="E27" i="19"/>
  <c r="E25" i="19"/>
  <c r="E24" i="19"/>
  <c r="E23" i="19"/>
  <c r="E22" i="19"/>
  <c r="E21" i="19"/>
  <c r="E20" i="19"/>
  <c r="AA47" i="19"/>
  <c r="X47" i="19"/>
  <c r="V47" i="19"/>
  <c r="T47" i="19"/>
  <c r="R47" i="19"/>
  <c r="AA45" i="19"/>
  <c r="X45" i="19"/>
  <c r="V45" i="19"/>
  <c r="T45" i="19"/>
  <c r="R45" i="19"/>
  <c r="AA43" i="19"/>
  <c r="X43" i="19"/>
  <c r="V43" i="19"/>
  <c r="T43" i="19"/>
  <c r="R43" i="19"/>
  <c r="AA41" i="19"/>
  <c r="X41" i="19"/>
  <c r="V41" i="19"/>
  <c r="T41" i="19"/>
  <c r="R41" i="19"/>
  <c r="AA39" i="19"/>
  <c r="X39" i="19"/>
  <c r="V39" i="19"/>
  <c r="T39" i="19"/>
  <c r="R39" i="19"/>
  <c r="AA37" i="19"/>
  <c r="X37" i="19"/>
  <c r="V37" i="19"/>
  <c r="T37" i="19"/>
  <c r="R37" i="19"/>
  <c r="AA35" i="19"/>
  <c r="X35" i="19"/>
  <c r="V35" i="19"/>
  <c r="T35" i="19"/>
  <c r="R35" i="19"/>
  <c r="AA33" i="19"/>
  <c r="X33" i="19"/>
  <c r="V33" i="19"/>
  <c r="T33" i="19"/>
  <c r="R33" i="19"/>
  <c r="AA31" i="19"/>
  <c r="X31" i="19"/>
  <c r="V31" i="19"/>
  <c r="T31" i="19"/>
  <c r="R31" i="19"/>
  <c r="X29" i="19"/>
  <c r="V29" i="19"/>
  <c r="T29" i="19"/>
  <c r="R29" i="19"/>
  <c r="Z29" i="19"/>
  <c r="AA28" i="19"/>
  <c r="R27" i="19"/>
  <c r="T27" i="19"/>
  <c r="V27" i="19"/>
  <c r="X27" i="19"/>
  <c r="AA27" i="19"/>
  <c r="AA25" i="19"/>
  <c r="X25" i="19"/>
  <c r="V25" i="19"/>
  <c r="T25" i="19"/>
  <c r="R25" i="19"/>
  <c r="AA24" i="19"/>
  <c r="R23" i="19"/>
  <c r="T23" i="19"/>
  <c r="V23" i="19"/>
  <c r="X23" i="19"/>
  <c r="AA23" i="19"/>
  <c r="R21" i="19"/>
  <c r="T21" i="19"/>
  <c r="V21" i="19"/>
  <c r="X21" i="19"/>
  <c r="AA21" i="19"/>
  <c r="C17" i="19"/>
  <c r="D19" i="19"/>
  <c r="D20" i="19"/>
  <c r="D21" i="19"/>
  <c r="D22" i="19"/>
  <c r="D23" i="19"/>
  <c r="D24" i="19"/>
  <c r="D25" i="19"/>
  <c r="D26" i="19"/>
  <c r="D27" i="19"/>
  <c r="D28" i="19"/>
  <c r="D29" i="19"/>
  <c r="D30" i="19"/>
  <c r="D31" i="19"/>
  <c r="D32" i="19"/>
  <c r="D33" i="19"/>
  <c r="D34" i="19"/>
  <c r="D35" i="19"/>
  <c r="D36" i="19"/>
  <c r="D37" i="19"/>
  <c r="D38" i="19"/>
  <c r="D39" i="19"/>
  <c r="D40" i="19"/>
  <c r="D41" i="19"/>
  <c r="D42" i="19"/>
  <c r="D43" i="19"/>
  <c r="D44" i="19"/>
  <c r="D45" i="19"/>
  <c r="D46" i="19"/>
  <c r="D47" i="19"/>
  <c r="F55" i="19"/>
  <c r="H55" i="19"/>
  <c r="D48" i="19"/>
  <c r="AA53" i="19"/>
  <c r="X53" i="19"/>
  <c r="V53" i="19"/>
  <c r="T53" i="19"/>
  <c r="R53" i="19"/>
  <c r="AA51" i="19"/>
  <c r="X51" i="19"/>
  <c r="V51" i="19"/>
  <c r="T51" i="19"/>
  <c r="R51" i="19"/>
  <c r="X49" i="19"/>
  <c r="V49" i="19"/>
  <c r="T49" i="19"/>
  <c r="R49" i="19"/>
  <c r="D49" i="19"/>
  <c r="D50" i="19"/>
  <c r="D51" i="19"/>
  <c r="D52" i="19"/>
  <c r="D53" i="19"/>
  <c r="D54" i="19"/>
  <c r="AA49" i="19"/>
  <c r="R54" i="20"/>
  <c r="T54" i="20"/>
  <c r="V54" i="20"/>
  <c r="X54" i="20"/>
  <c r="T19" i="20"/>
  <c r="X19" i="20"/>
  <c r="E4" i="20"/>
  <c r="E16" i="20"/>
  <c r="AD54" i="20"/>
  <c r="AD53" i="20"/>
  <c r="AD51" i="20"/>
  <c r="AD50" i="20"/>
  <c r="AD49" i="20"/>
  <c r="AD47" i="20"/>
  <c r="AD46" i="20"/>
  <c r="AD45" i="20"/>
  <c r="AD43" i="20"/>
  <c r="AD42" i="20"/>
  <c r="AD41" i="20"/>
  <c r="AD39" i="20"/>
  <c r="AD38" i="20"/>
  <c r="AD37" i="20"/>
  <c r="AD35" i="20"/>
  <c r="AD34" i="20"/>
  <c r="AD33" i="20"/>
  <c r="AD31" i="20"/>
  <c r="AD30" i="20"/>
  <c r="AD29" i="20"/>
  <c r="AD27" i="20"/>
  <c r="AD26" i="20"/>
  <c r="AD25" i="20"/>
  <c r="AD23" i="20"/>
  <c r="AD22" i="20"/>
  <c r="AD21" i="20"/>
  <c r="AA47" i="20"/>
  <c r="X47" i="20"/>
  <c r="V47" i="20"/>
  <c r="T47" i="20"/>
  <c r="R47" i="20"/>
  <c r="AA46" i="20"/>
  <c r="X46" i="20"/>
  <c r="V46" i="20"/>
  <c r="T46" i="20"/>
  <c r="R46" i="20"/>
  <c r="AA45" i="20"/>
  <c r="X45" i="20"/>
  <c r="V45" i="20"/>
  <c r="T45" i="20"/>
  <c r="R45" i="20"/>
  <c r="AA43" i="20"/>
  <c r="X43" i="20"/>
  <c r="V43" i="20"/>
  <c r="T43" i="20"/>
  <c r="R43" i="20"/>
  <c r="AA42" i="20"/>
  <c r="X42" i="20"/>
  <c r="V42" i="20"/>
  <c r="T42" i="20"/>
  <c r="R42" i="20"/>
  <c r="AA41" i="20"/>
  <c r="X41" i="20"/>
  <c r="V41" i="20"/>
  <c r="T41" i="20"/>
  <c r="R41" i="20"/>
  <c r="AA39" i="20"/>
  <c r="X39" i="20"/>
  <c r="V39" i="20"/>
  <c r="T39" i="20"/>
  <c r="R39" i="20"/>
  <c r="AA38" i="20"/>
  <c r="X38" i="20"/>
  <c r="V38" i="20"/>
  <c r="T38" i="20"/>
  <c r="R38" i="20"/>
  <c r="AA37" i="20"/>
  <c r="X37" i="20"/>
  <c r="V37" i="20"/>
  <c r="T37" i="20"/>
  <c r="R37" i="20"/>
  <c r="AA35" i="20"/>
  <c r="X35" i="20"/>
  <c r="V35" i="20"/>
  <c r="T35" i="20"/>
  <c r="R35" i="20"/>
  <c r="AA34" i="20"/>
  <c r="X34" i="20"/>
  <c r="V34" i="20"/>
  <c r="T34" i="20"/>
  <c r="R34" i="20"/>
  <c r="AA33" i="20"/>
  <c r="X33" i="20"/>
  <c r="V33" i="20"/>
  <c r="T33" i="20"/>
  <c r="R33" i="20"/>
  <c r="AA31" i="20"/>
  <c r="X31" i="20"/>
  <c r="V31" i="20"/>
  <c r="T31" i="20"/>
  <c r="R31" i="20"/>
  <c r="AA30" i="20"/>
  <c r="X30" i="20"/>
  <c r="V30" i="20"/>
  <c r="T30" i="20"/>
  <c r="R30" i="20"/>
  <c r="AA29" i="20"/>
  <c r="X29" i="20"/>
  <c r="V29" i="20"/>
  <c r="T29" i="20"/>
  <c r="R29" i="20"/>
  <c r="AA27" i="20"/>
  <c r="X27" i="20"/>
  <c r="V27" i="20"/>
  <c r="T27" i="20"/>
  <c r="R27" i="20"/>
  <c r="AA26" i="20"/>
  <c r="X26" i="20"/>
  <c r="V26" i="20"/>
  <c r="T26" i="20"/>
  <c r="AA25" i="20"/>
  <c r="X25" i="20"/>
  <c r="V25" i="20"/>
  <c r="T25" i="20"/>
  <c r="R25" i="20"/>
  <c r="AA23" i="20"/>
  <c r="X23" i="20"/>
  <c r="V23" i="20"/>
  <c r="T23" i="20"/>
  <c r="R23" i="20"/>
  <c r="AA22" i="20"/>
  <c r="X22" i="20"/>
  <c r="V22" i="20"/>
  <c r="T22" i="20"/>
  <c r="R22" i="20"/>
  <c r="R21" i="20"/>
  <c r="T21" i="20"/>
  <c r="V21" i="20"/>
  <c r="X21" i="20"/>
  <c r="AA21" i="20"/>
  <c r="C17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F55" i="20"/>
  <c r="H55" i="20"/>
  <c r="D48" i="20"/>
  <c r="AA54" i="20"/>
  <c r="AA53" i="20"/>
  <c r="X53" i="20"/>
  <c r="V53" i="20"/>
  <c r="T53" i="20"/>
  <c r="R53" i="20"/>
  <c r="AA51" i="20"/>
  <c r="X51" i="20"/>
  <c r="V51" i="20"/>
  <c r="T51" i="20"/>
  <c r="R51" i="20"/>
  <c r="AA50" i="20"/>
  <c r="X50" i="20"/>
  <c r="V50" i="20"/>
  <c r="T50" i="20"/>
  <c r="R50" i="20"/>
  <c r="X49" i="20"/>
  <c r="V49" i="20"/>
  <c r="T49" i="20"/>
  <c r="R49" i="20"/>
  <c r="D49" i="20"/>
  <c r="D50" i="20"/>
  <c r="D51" i="20"/>
  <c r="D52" i="20"/>
  <c r="D53" i="20"/>
  <c r="D54" i="20"/>
  <c r="AA49" i="20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I17" i="1"/>
  <c r="J17" i="1" s="1"/>
  <c r="I15" i="1"/>
  <c r="J15" i="1"/>
  <c r="I13" i="1"/>
  <c r="J13" i="1" s="1"/>
  <c r="I11" i="1"/>
  <c r="J11" i="1"/>
  <c r="I9" i="1"/>
  <c r="J9" i="1" s="1"/>
  <c r="I7" i="1"/>
  <c r="J7" i="1"/>
  <c r="I5" i="1"/>
  <c r="J5" i="1" s="1"/>
  <c r="G23" i="1"/>
  <c r="H23" i="1"/>
  <c r="G21" i="1"/>
  <c r="H21" i="1" s="1"/>
  <c r="G19" i="1"/>
  <c r="H19" i="1"/>
  <c r="G17" i="1"/>
  <c r="H17" i="1" s="1"/>
  <c r="G15" i="1"/>
  <c r="H15" i="1"/>
  <c r="G13" i="1"/>
  <c r="H13" i="1" s="1"/>
  <c r="G11" i="1"/>
  <c r="H11" i="1"/>
  <c r="G9" i="1"/>
  <c r="H9" i="1" s="1"/>
  <c r="G7" i="1"/>
  <c r="H7" i="1"/>
  <c r="G5" i="1"/>
  <c r="H5" i="1" s="1"/>
  <c r="H9" i="18"/>
  <c r="F19" i="18"/>
  <c r="B10" i="18"/>
  <c r="B44" i="18"/>
  <c r="H8" i="18"/>
  <c r="B8" i="18"/>
  <c r="X21" i="17"/>
  <c r="AH21" i="17"/>
  <c r="J54" i="15"/>
  <c r="J53" i="15"/>
  <c r="J52" i="15"/>
  <c r="J51" i="15"/>
  <c r="J50" i="15"/>
  <c r="J49" i="15"/>
  <c r="J48" i="15"/>
  <c r="J47" i="15"/>
  <c r="J46" i="15"/>
  <c r="J45" i="15"/>
  <c r="J44" i="15"/>
  <c r="J43" i="15"/>
  <c r="J42" i="15"/>
  <c r="J41" i="15"/>
  <c r="J40" i="15"/>
  <c r="J39" i="15"/>
  <c r="J38" i="15"/>
  <c r="J37" i="15"/>
  <c r="J36" i="15"/>
  <c r="J35" i="15"/>
  <c r="J34" i="15"/>
  <c r="J33" i="15"/>
  <c r="J32" i="15"/>
  <c r="J31" i="15"/>
  <c r="J30" i="15"/>
  <c r="J29" i="15"/>
  <c r="J28" i="15"/>
  <c r="J27" i="15"/>
  <c r="J26" i="15"/>
  <c r="J25" i="15"/>
  <c r="J24" i="15"/>
  <c r="J23" i="15"/>
  <c r="J22" i="15"/>
  <c r="J20" i="15"/>
  <c r="J19" i="15"/>
  <c r="J21" i="15"/>
  <c r="AD54" i="15"/>
  <c r="L54" i="15"/>
  <c r="R54" i="15" s="1"/>
  <c r="Z54" i="15" s="1"/>
  <c r="AA54" i="15" s="1"/>
  <c r="T54" i="15"/>
  <c r="V54" i="15"/>
  <c r="X54" i="15"/>
  <c r="AD53" i="15"/>
  <c r="L53" i="15"/>
  <c r="R53" i="15" s="1"/>
  <c r="Z53" i="15" s="1"/>
  <c r="AA53" i="15" s="1"/>
  <c r="T53" i="15"/>
  <c r="V53" i="15"/>
  <c r="X53" i="15"/>
  <c r="AD52" i="15"/>
  <c r="L52" i="15"/>
  <c r="R52" i="15" s="1"/>
  <c r="Z52" i="15" s="1"/>
  <c r="AA52" i="15" s="1"/>
  <c r="T52" i="15"/>
  <c r="V52" i="15"/>
  <c r="X52" i="15"/>
  <c r="AD51" i="15"/>
  <c r="L51" i="15"/>
  <c r="R51" i="15"/>
  <c r="T51" i="15"/>
  <c r="V51" i="15"/>
  <c r="X51" i="15"/>
  <c r="Z51" i="15"/>
  <c r="AA51" i="15" s="1"/>
  <c r="AD50" i="15"/>
  <c r="L50" i="15"/>
  <c r="R50" i="15" s="1"/>
  <c r="Z50" i="15" s="1"/>
  <c r="AA50" i="15" s="1"/>
  <c r="T50" i="15"/>
  <c r="V50" i="15"/>
  <c r="X50" i="15"/>
  <c r="AD49" i="15"/>
  <c r="L49" i="15"/>
  <c r="R49" i="15"/>
  <c r="T49" i="15"/>
  <c r="V49" i="15"/>
  <c r="Z49" i="15" s="1"/>
  <c r="AA49" i="15" s="1"/>
  <c r="X49" i="15"/>
  <c r="AD48" i="15"/>
  <c r="L48" i="15"/>
  <c r="R48" i="15" s="1"/>
  <c r="Z48" i="15" s="1"/>
  <c r="AA48" i="15" s="1"/>
  <c r="T48" i="15"/>
  <c r="V48" i="15"/>
  <c r="X48" i="15"/>
  <c r="AD47" i="15"/>
  <c r="L47" i="15"/>
  <c r="R47" i="15"/>
  <c r="T47" i="15"/>
  <c r="V47" i="15"/>
  <c r="X47" i="15"/>
  <c r="Z47" i="15"/>
  <c r="AA47" i="15" s="1"/>
  <c r="AD46" i="15"/>
  <c r="L46" i="15"/>
  <c r="R46" i="15" s="1"/>
  <c r="Z46" i="15" s="1"/>
  <c r="AA46" i="15" s="1"/>
  <c r="T46" i="15"/>
  <c r="V46" i="15"/>
  <c r="X46" i="15"/>
  <c r="AD45" i="15"/>
  <c r="L45" i="15"/>
  <c r="R45" i="15"/>
  <c r="T45" i="15"/>
  <c r="V45" i="15"/>
  <c r="Z45" i="15" s="1"/>
  <c r="AA45" i="15" s="1"/>
  <c r="X45" i="15"/>
  <c r="AD44" i="15"/>
  <c r="L44" i="15"/>
  <c r="R44" i="15" s="1"/>
  <c r="Z44" i="15" s="1"/>
  <c r="AA44" i="15" s="1"/>
  <c r="T44" i="15"/>
  <c r="V44" i="15"/>
  <c r="X44" i="15"/>
  <c r="AD43" i="15"/>
  <c r="L43" i="15"/>
  <c r="R43" i="15"/>
  <c r="T43" i="15"/>
  <c r="V43" i="15"/>
  <c r="X43" i="15"/>
  <c r="Z43" i="15"/>
  <c r="AA43" i="15" s="1"/>
  <c r="AD42" i="15"/>
  <c r="L42" i="15"/>
  <c r="R42" i="15" s="1"/>
  <c r="Z42" i="15" s="1"/>
  <c r="AA42" i="15" s="1"/>
  <c r="T42" i="15"/>
  <c r="V42" i="15"/>
  <c r="X42" i="15"/>
  <c r="AD41" i="15"/>
  <c r="L41" i="15"/>
  <c r="R41" i="15"/>
  <c r="T41" i="15"/>
  <c r="V41" i="15"/>
  <c r="Z41" i="15" s="1"/>
  <c r="AA41" i="15" s="1"/>
  <c r="X41" i="15"/>
  <c r="AD40" i="15"/>
  <c r="L40" i="15"/>
  <c r="R40" i="15" s="1"/>
  <c r="Z40" i="15" s="1"/>
  <c r="AA40" i="15" s="1"/>
  <c r="T40" i="15"/>
  <c r="V40" i="15"/>
  <c r="X40" i="15"/>
  <c r="AD39" i="15"/>
  <c r="L39" i="15"/>
  <c r="R39" i="15"/>
  <c r="T39" i="15"/>
  <c r="V39" i="15"/>
  <c r="X39" i="15"/>
  <c r="Z39" i="15"/>
  <c r="AA39" i="15" s="1"/>
  <c r="AD38" i="15"/>
  <c r="L38" i="15"/>
  <c r="R38" i="15" s="1"/>
  <c r="Z38" i="15" s="1"/>
  <c r="AA38" i="15" s="1"/>
  <c r="T38" i="15"/>
  <c r="V38" i="15"/>
  <c r="X38" i="15"/>
  <c r="AD37" i="15"/>
  <c r="L37" i="15"/>
  <c r="R37" i="15"/>
  <c r="T37" i="15"/>
  <c r="V37" i="15"/>
  <c r="Z37" i="15" s="1"/>
  <c r="AA37" i="15" s="1"/>
  <c r="X37" i="15"/>
  <c r="AD36" i="15"/>
  <c r="L36" i="15"/>
  <c r="R36" i="15" s="1"/>
  <c r="Z36" i="15" s="1"/>
  <c r="AA36" i="15" s="1"/>
  <c r="T36" i="15"/>
  <c r="V36" i="15"/>
  <c r="X36" i="15"/>
  <c r="AD35" i="15"/>
  <c r="L35" i="15"/>
  <c r="R35" i="15"/>
  <c r="T35" i="15"/>
  <c r="V35" i="15"/>
  <c r="X35" i="15"/>
  <c r="Z35" i="15"/>
  <c r="AA35" i="15" s="1"/>
  <c r="AD34" i="15"/>
  <c r="L34" i="15"/>
  <c r="R34" i="15" s="1"/>
  <c r="Z34" i="15" s="1"/>
  <c r="AA34" i="15" s="1"/>
  <c r="T34" i="15"/>
  <c r="V34" i="15"/>
  <c r="X34" i="15"/>
  <c r="AD33" i="15"/>
  <c r="L33" i="15"/>
  <c r="R33" i="15"/>
  <c r="T33" i="15"/>
  <c r="V33" i="15"/>
  <c r="Z33" i="15" s="1"/>
  <c r="AA33" i="15" s="1"/>
  <c r="X33" i="15"/>
  <c r="AD32" i="15"/>
  <c r="L32" i="15"/>
  <c r="R32" i="15" s="1"/>
  <c r="Z32" i="15" s="1"/>
  <c r="AA32" i="15" s="1"/>
  <c r="T32" i="15"/>
  <c r="V32" i="15"/>
  <c r="X32" i="15"/>
  <c r="AD31" i="15"/>
  <c r="L31" i="15"/>
  <c r="R31" i="15"/>
  <c r="T31" i="15"/>
  <c r="V31" i="15"/>
  <c r="X31" i="15"/>
  <c r="Z31" i="15"/>
  <c r="AA31" i="15" s="1"/>
  <c r="AD30" i="15"/>
  <c r="L30" i="15"/>
  <c r="R30" i="15" s="1"/>
  <c r="Z30" i="15" s="1"/>
  <c r="AA30" i="15" s="1"/>
  <c r="T30" i="15"/>
  <c r="V30" i="15"/>
  <c r="X30" i="15"/>
  <c r="AD29" i="15"/>
  <c r="L29" i="15"/>
  <c r="R29" i="15"/>
  <c r="T29" i="15"/>
  <c r="V29" i="15"/>
  <c r="Z29" i="15" s="1"/>
  <c r="AA29" i="15" s="1"/>
  <c r="X29" i="15"/>
  <c r="AD28" i="15"/>
  <c r="L28" i="15"/>
  <c r="R28" i="15" s="1"/>
  <c r="Z28" i="15" s="1"/>
  <c r="AA28" i="15" s="1"/>
  <c r="T28" i="15"/>
  <c r="V28" i="15"/>
  <c r="X28" i="15"/>
  <c r="AD27" i="15"/>
  <c r="L27" i="15"/>
  <c r="R27" i="15"/>
  <c r="T27" i="15"/>
  <c r="V27" i="15"/>
  <c r="X27" i="15"/>
  <c r="Z27" i="15"/>
  <c r="AA27" i="15" s="1"/>
  <c r="AD26" i="15"/>
  <c r="L26" i="15"/>
  <c r="R26" i="15" s="1"/>
  <c r="Z26" i="15" s="1"/>
  <c r="AA26" i="15" s="1"/>
  <c r="T26" i="15"/>
  <c r="V26" i="15"/>
  <c r="X26" i="15"/>
  <c r="AD25" i="15"/>
  <c r="L25" i="15"/>
  <c r="R25" i="15"/>
  <c r="T25" i="15"/>
  <c r="V25" i="15"/>
  <c r="Z25" i="15" s="1"/>
  <c r="AA25" i="15" s="1"/>
  <c r="X25" i="15"/>
  <c r="AD24" i="15"/>
  <c r="L24" i="15"/>
  <c r="R24" i="15" s="1"/>
  <c r="Z24" i="15" s="1"/>
  <c r="AA24" i="15" s="1"/>
  <c r="T24" i="15"/>
  <c r="V24" i="15"/>
  <c r="X24" i="15"/>
  <c r="AD23" i="15"/>
  <c r="L23" i="15"/>
  <c r="R23" i="15"/>
  <c r="T23" i="15"/>
  <c r="V23" i="15"/>
  <c r="X23" i="15"/>
  <c r="Z23" i="15"/>
  <c r="AA23" i="15" s="1"/>
  <c r="AD22" i="15"/>
  <c r="L22" i="15"/>
  <c r="R22" i="15" s="1"/>
  <c r="Z22" i="15" s="1"/>
  <c r="AA22" i="15" s="1"/>
  <c r="T22" i="15"/>
  <c r="V22" i="15"/>
  <c r="X22" i="15"/>
  <c r="AD21" i="15"/>
  <c r="L21" i="15"/>
  <c r="R21" i="15"/>
  <c r="T21" i="15"/>
  <c r="V21" i="15"/>
  <c r="Z21" i="15" s="1"/>
  <c r="AA21" i="15" s="1"/>
  <c r="X21" i="15"/>
  <c r="AD20" i="15"/>
  <c r="L20" i="15"/>
  <c r="R20" i="15" s="1"/>
  <c r="Z20" i="15" s="1"/>
  <c r="AA20" i="15" s="1"/>
  <c r="T20" i="15"/>
  <c r="V20" i="15"/>
  <c r="X20" i="15"/>
  <c r="AD19" i="15"/>
  <c r="L19" i="15"/>
  <c r="R19" i="15"/>
  <c r="T19" i="15"/>
  <c r="V19" i="15"/>
  <c r="X19" i="15"/>
  <c r="Z19" i="15"/>
  <c r="AA19" i="15" s="1"/>
  <c r="E16" i="15"/>
  <c r="H55" i="15"/>
  <c r="F55" i="15"/>
  <c r="C17" i="15"/>
  <c r="C8" i="17"/>
  <c r="C9" i="17"/>
  <c r="AJ23" i="17"/>
  <c r="AJ25" i="17"/>
  <c r="AJ27" i="17"/>
  <c r="AJ29" i="17"/>
  <c r="AJ31" i="17"/>
  <c r="AJ33" i="17"/>
  <c r="AJ35" i="17"/>
  <c r="AJ37" i="17"/>
  <c r="AJ39" i="17"/>
  <c r="AJ41" i="17"/>
  <c r="AJ43" i="17"/>
  <c r="AJ45" i="17"/>
  <c r="AJ47" i="17"/>
  <c r="AJ49" i="17"/>
  <c r="AJ51" i="17"/>
  <c r="AJ53" i="17"/>
  <c r="AD54" i="17"/>
  <c r="AB54" i="17"/>
  <c r="Z54" i="17"/>
  <c r="R54" i="17"/>
  <c r="P54" i="17"/>
  <c r="O54" i="17"/>
  <c r="AD53" i="17"/>
  <c r="AB53" i="17"/>
  <c r="Z53" i="17"/>
  <c r="X53" i="17"/>
  <c r="T53" i="17"/>
  <c r="R53" i="17"/>
  <c r="P53" i="17"/>
  <c r="O53" i="17"/>
  <c r="AB52" i="17"/>
  <c r="Z52" i="17"/>
  <c r="R52" i="17"/>
  <c r="P52" i="17"/>
  <c r="O52" i="17"/>
  <c r="AD51" i="17"/>
  <c r="AB51" i="17"/>
  <c r="Z51" i="17"/>
  <c r="X51" i="17"/>
  <c r="T51" i="17"/>
  <c r="R51" i="17"/>
  <c r="P51" i="17"/>
  <c r="O51" i="17"/>
  <c r="AD50" i="17"/>
  <c r="AB50" i="17"/>
  <c r="Z50" i="17"/>
  <c r="R50" i="17"/>
  <c r="P50" i="17"/>
  <c r="O50" i="17"/>
  <c r="AD49" i="17"/>
  <c r="AB49" i="17"/>
  <c r="Z49" i="17"/>
  <c r="X49" i="17"/>
  <c r="T49" i="17"/>
  <c r="R49" i="17"/>
  <c r="P49" i="17"/>
  <c r="O49" i="17"/>
  <c r="AB48" i="17"/>
  <c r="Z48" i="17"/>
  <c r="R48" i="17"/>
  <c r="P48" i="17"/>
  <c r="O48" i="17"/>
  <c r="AD47" i="17"/>
  <c r="AB47" i="17"/>
  <c r="Z47" i="17"/>
  <c r="X47" i="17"/>
  <c r="T47" i="17"/>
  <c r="R47" i="17"/>
  <c r="P47" i="17"/>
  <c r="O47" i="17"/>
  <c r="AD46" i="17"/>
  <c r="AB46" i="17"/>
  <c r="Z46" i="17"/>
  <c r="R46" i="17"/>
  <c r="P46" i="17"/>
  <c r="O46" i="17"/>
  <c r="AD45" i="17"/>
  <c r="AB45" i="17"/>
  <c r="Z45" i="17"/>
  <c r="X45" i="17"/>
  <c r="T45" i="17"/>
  <c r="R45" i="17"/>
  <c r="P45" i="17"/>
  <c r="O45" i="17"/>
  <c r="AB44" i="17"/>
  <c r="Z44" i="17"/>
  <c r="R44" i="17"/>
  <c r="P44" i="17"/>
  <c r="O44" i="17"/>
  <c r="AD43" i="17"/>
  <c r="AB43" i="17"/>
  <c r="Z43" i="17"/>
  <c r="X43" i="17"/>
  <c r="T43" i="17"/>
  <c r="R43" i="17"/>
  <c r="P43" i="17"/>
  <c r="O43" i="17"/>
  <c r="AD42" i="17"/>
  <c r="AB42" i="17"/>
  <c r="Z42" i="17"/>
  <c r="R42" i="17"/>
  <c r="P42" i="17"/>
  <c r="O42" i="17"/>
  <c r="AD41" i="17"/>
  <c r="AB41" i="17"/>
  <c r="Z41" i="17"/>
  <c r="X41" i="17"/>
  <c r="T41" i="17"/>
  <c r="R41" i="17"/>
  <c r="P41" i="17"/>
  <c r="O41" i="17"/>
  <c r="AB40" i="17"/>
  <c r="Z40" i="17"/>
  <c r="R40" i="17"/>
  <c r="P40" i="17"/>
  <c r="O40" i="17"/>
  <c r="AD39" i="17"/>
  <c r="AB39" i="17"/>
  <c r="Z39" i="17"/>
  <c r="X39" i="17"/>
  <c r="T39" i="17"/>
  <c r="R39" i="17"/>
  <c r="P39" i="17"/>
  <c r="O39" i="17"/>
  <c r="AD38" i="17"/>
  <c r="AB38" i="17"/>
  <c r="Z38" i="17"/>
  <c r="R38" i="17"/>
  <c r="P38" i="17"/>
  <c r="O38" i="17"/>
  <c r="AD37" i="17"/>
  <c r="AB37" i="17"/>
  <c r="Z37" i="17"/>
  <c r="X37" i="17"/>
  <c r="T37" i="17"/>
  <c r="R37" i="17"/>
  <c r="P37" i="17"/>
  <c r="O37" i="17"/>
  <c r="AB36" i="17"/>
  <c r="Z36" i="17"/>
  <c r="R36" i="17"/>
  <c r="P36" i="17"/>
  <c r="O36" i="17"/>
  <c r="AD35" i="17"/>
  <c r="AB35" i="17"/>
  <c r="Z35" i="17"/>
  <c r="X35" i="17"/>
  <c r="T35" i="17"/>
  <c r="R35" i="17"/>
  <c r="P35" i="17"/>
  <c r="O35" i="17"/>
  <c r="AD34" i="17"/>
  <c r="AB34" i="17"/>
  <c r="Z34" i="17"/>
  <c r="R34" i="17"/>
  <c r="P34" i="17"/>
  <c r="O34" i="17"/>
  <c r="AD33" i="17"/>
  <c r="AB33" i="17"/>
  <c r="Z33" i="17"/>
  <c r="X33" i="17"/>
  <c r="T33" i="17"/>
  <c r="R33" i="17"/>
  <c r="P33" i="17"/>
  <c r="O33" i="17"/>
  <c r="AB32" i="17"/>
  <c r="Z32" i="17"/>
  <c r="R32" i="17"/>
  <c r="P32" i="17"/>
  <c r="O32" i="17"/>
  <c r="AD31" i="17"/>
  <c r="AB31" i="17"/>
  <c r="Z31" i="17"/>
  <c r="X31" i="17"/>
  <c r="T31" i="17"/>
  <c r="R31" i="17"/>
  <c r="P31" i="17"/>
  <c r="O31" i="17"/>
  <c r="AD30" i="17"/>
  <c r="AB30" i="17"/>
  <c r="Z30" i="17"/>
  <c r="R30" i="17"/>
  <c r="P30" i="17"/>
  <c r="O30" i="17"/>
  <c r="AD29" i="17"/>
  <c r="AB29" i="17"/>
  <c r="Z29" i="17"/>
  <c r="T29" i="17"/>
  <c r="R29" i="17"/>
  <c r="P29" i="17"/>
  <c r="O29" i="17"/>
  <c r="AB28" i="17"/>
  <c r="Z28" i="17"/>
  <c r="X28" i="17"/>
  <c r="AK28" i="17" s="1"/>
  <c r="R28" i="17"/>
  <c r="P28" i="17"/>
  <c r="O28" i="17"/>
  <c r="AD27" i="17"/>
  <c r="AB27" i="17"/>
  <c r="Z27" i="17"/>
  <c r="X27" i="17"/>
  <c r="T27" i="17"/>
  <c r="R27" i="17"/>
  <c r="P27" i="17"/>
  <c r="O27" i="17"/>
  <c r="AD26" i="17"/>
  <c r="AB26" i="17"/>
  <c r="Z26" i="17"/>
  <c r="R26" i="17"/>
  <c r="P26" i="17"/>
  <c r="AD25" i="17"/>
  <c r="AB25" i="17"/>
  <c r="Z25" i="17"/>
  <c r="X25" i="17"/>
  <c r="T25" i="17"/>
  <c r="R25" i="17"/>
  <c r="P25" i="17"/>
  <c r="O25" i="17"/>
  <c r="AB24" i="17"/>
  <c r="Z24" i="17"/>
  <c r="X24" i="17"/>
  <c r="AK24" i="17" s="1"/>
  <c r="R24" i="17"/>
  <c r="P24" i="17"/>
  <c r="O24" i="17"/>
  <c r="AD23" i="17"/>
  <c r="AB23" i="17"/>
  <c r="Z23" i="17"/>
  <c r="X23" i="17"/>
  <c r="T23" i="17"/>
  <c r="R23" i="17"/>
  <c r="P23" i="17"/>
  <c r="O23" i="17"/>
  <c r="AD22" i="17"/>
  <c r="AB22" i="17"/>
  <c r="Z22" i="17"/>
  <c r="R22" i="17"/>
  <c r="P22" i="17"/>
  <c r="O22" i="17"/>
  <c r="AD21" i="17"/>
  <c r="AB21" i="17"/>
  <c r="Z21" i="17"/>
  <c r="T21" i="17"/>
  <c r="R21" i="17"/>
  <c r="P21" i="17"/>
  <c r="O21" i="17"/>
  <c r="D4" i="17"/>
  <c r="Y16" i="17" s="1"/>
  <c r="D2" i="17"/>
  <c r="E16" i="17" s="1"/>
  <c r="AH27" i="17"/>
  <c r="O20" i="17"/>
  <c r="O19" i="17"/>
  <c r="C14" i="17"/>
  <c r="R19" i="17"/>
  <c r="AH47" i="17"/>
  <c r="AL47" i="17" s="1"/>
  <c r="J47" i="17"/>
  <c r="H47" i="17"/>
  <c r="F47" i="17"/>
  <c r="AH46" i="17"/>
  <c r="J46" i="17"/>
  <c r="H46" i="17"/>
  <c r="F46" i="17"/>
  <c r="AH45" i="17"/>
  <c r="AL45" i="17" s="1"/>
  <c r="J45" i="17"/>
  <c r="H45" i="17"/>
  <c r="F45" i="17"/>
  <c r="H44" i="17"/>
  <c r="F44" i="17"/>
  <c r="AH43" i="17"/>
  <c r="AL43" i="17" s="1"/>
  <c r="J43" i="17"/>
  <c r="H43" i="17"/>
  <c r="F43" i="17"/>
  <c r="AH42" i="17"/>
  <c r="J42" i="17"/>
  <c r="H42" i="17"/>
  <c r="F42" i="17"/>
  <c r="AH41" i="17"/>
  <c r="AL41" i="17" s="1"/>
  <c r="J41" i="17"/>
  <c r="H41" i="17"/>
  <c r="F41" i="17"/>
  <c r="H40" i="17"/>
  <c r="F40" i="17"/>
  <c r="AH39" i="17"/>
  <c r="AL39" i="17" s="1"/>
  <c r="J39" i="17"/>
  <c r="H39" i="17"/>
  <c r="F39" i="17"/>
  <c r="AH38" i="17"/>
  <c r="J38" i="17"/>
  <c r="H38" i="17"/>
  <c r="F38" i="17"/>
  <c r="AH37" i="17"/>
  <c r="AL37" i="17" s="1"/>
  <c r="J37" i="17"/>
  <c r="H37" i="17"/>
  <c r="F37" i="17"/>
  <c r="H36" i="17"/>
  <c r="F36" i="17"/>
  <c r="AH35" i="17"/>
  <c r="AL35" i="17" s="1"/>
  <c r="J35" i="17"/>
  <c r="H35" i="17"/>
  <c r="F35" i="17"/>
  <c r="AH34" i="17"/>
  <c r="J34" i="17"/>
  <c r="H34" i="17"/>
  <c r="F34" i="17"/>
  <c r="AH33" i="17"/>
  <c r="AL33" i="17" s="1"/>
  <c r="J33" i="17"/>
  <c r="H33" i="17"/>
  <c r="F33" i="17"/>
  <c r="H32" i="17"/>
  <c r="F32" i="17"/>
  <c r="AH31" i="17"/>
  <c r="AL31" i="17" s="1"/>
  <c r="J31" i="17"/>
  <c r="H31" i="17"/>
  <c r="F31" i="17"/>
  <c r="AH30" i="17"/>
  <c r="J30" i="17"/>
  <c r="H30" i="17"/>
  <c r="F30" i="17"/>
  <c r="AH29" i="17"/>
  <c r="AL29" i="17" s="1"/>
  <c r="J29" i="17"/>
  <c r="H29" i="17"/>
  <c r="F29" i="17"/>
  <c r="H28" i="17"/>
  <c r="F28" i="17"/>
  <c r="J27" i="17"/>
  <c r="H27" i="17"/>
  <c r="F27" i="17"/>
  <c r="AH26" i="17"/>
  <c r="AL26" i="17" s="1"/>
  <c r="H26" i="17"/>
  <c r="F26" i="17"/>
  <c r="AH25" i="17"/>
  <c r="J25" i="17"/>
  <c r="H25" i="17"/>
  <c r="F25" i="17"/>
  <c r="H24" i="17"/>
  <c r="F24" i="17"/>
  <c r="AH23" i="17"/>
  <c r="AL23" i="17" s="1"/>
  <c r="J23" i="17"/>
  <c r="H23" i="17"/>
  <c r="F23" i="17"/>
  <c r="AH22" i="17"/>
  <c r="AL22" i="17" s="1"/>
  <c r="J22" i="17"/>
  <c r="H22" i="17"/>
  <c r="F22" i="17"/>
  <c r="J21" i="17"/>
  <c r="H21" i="17"/>
  <c r="F21" i="17"/>
  <c r="AB20" i="17"/>
  <c r="Z20" i="17"/>
  <c r="R20" i="17"/>
  <c r="P20" i="17"/>
  <c r="H20" i="17"/>
  <c r="F20" i="17"/>
  <c r="T19" i="17"/>
  <c r="P19" i="17"/>
  <c r="H19" i="17"/>
  <c r="H55" i="17" s="1"/>
  <c r="F19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AL21" i="17"/>
  <c r="AL25" i="17"/>
  <c r="AL27" i="17"/>
  <c r="AL30" i="17"/>
  <c r="AL34" i="17"/>
  <c r="AL38" i="17"/>
  <c r="AL42" i="17"/>
  <c r="AL46" i="17"/>
  <c r="AK21" i="17"/>
  <c r="AK23" i="17"/>
  <c r="AK25" i="17"/>
  <c r="AK27" i="17"/>
  <c r="AK31" i="17"/>
  <c r="AK33" i="17"/>
  <c r="AK35" i="17"/>
  <c r="AK37" i="17"/>
  <c r="AK39" i="17"/>
  <c r="AK41" i="17"/>
  <c r="AK43" i="17"/>
  <c r="AK45" i="17"/>
  <c r="AK47" i="17"/>
  <c r="H48" i="17"/>
  <c r="F48" i="17"/>
  <c r="D48" i="17"/>
  <c r="J54" i="17"/>
  <c r="H54" i="17"/>
  <c r="F54" i="17"/>
  <c r="J53" i="17"/>
  <c r="H53" i="17"/>
  <c r="F53" i="17"/>
  <c r="H52" i="17"/>
  <c r="F52" i="17"/>
  <c r="J51" i="17"/>
  <c r="H51" i="17"/>
  <c r="F51" i="17"/>
  <c r="J50" i="17"/>
  <c r="H50" i="17"/>
  <c r="F50" i="17"/>
  <c r="J49" i="17"/>
  <c r="D54" i="17"/>
  <c r="D53" i="17"/>
  <c r="D52" i="17"/>
  <c r="D51" i="17"/>
  <c r="D50" i="17"/>
  <c r="D49" i="17"/>
  <c r="AH50" i="17"/>
  <c r="AL50" i="17" s="1"/>
  <c r="AH51" i="17"/>
  <c r="AL51" i="17" s="1"/>
  <c r="AH53" i="17"/>
  <c r="AL53" i="17" s="1"/>
  <c r="AH54" i="17"/>
  <c r="AL54" i="17" s="1"/>
  <c r="AK51" i="17"/>
  <c r="AK53" i="17"/>
  <c r="AH49" i="17"/>
  <c r="AL49" i="17" s="1"/>
  <c r="AK49" i="17"/>
  <c r="H49" i="17"/>
  <c r="F49" i="17"/>
  <c r="J15" i="8"/>
  <c r="J16" i="8"/>
  <c r="H11" i="8"/>
  <c r="H12" i="8"/>
  <c r="D17" i="8"/>
  <c r="C11" i="8"/>
  <c r="C17" i="8"/>
  <c r="AA29" i="19"/>
  <c r="X29" i="17"/>
  <c r="AK29" i="17" s="1"/>
  <c r="Z20" i="7"/>
  <c r="AA20" i="7"/>
  <c r="N21" i="17"/>
  <c r="AJ21" i="17"/>
  <c r="AA21" i="7"/>
  <c r="M3" i="8"/>
  <c r="A1" i="16" l="1"/>
  <c r="V19" i="20"/>
  <c r="AD19" i="17"/>
  <c r="Z19" i="19"/>
  <c r="AA19" i="19" s="1"/>
  <c r="O26" i="17"/>
  <c r="P55" i="17"/>
  <c r="J26" i="17"/>
  <c r="X26" i="7"/>
  <c r="AD26" i="7"/>
  <c r="F30" i="18"/>
  <c r="F32" i="18"/>
  <c r="F55" i="17"/>
  <c r="C10" i="17"/>
  <c r="AI47" i="17" s="1"/>
  <c r="C8" i="1"/>
  <c r="Q8" i="1"/>
  <c r="R8" i="1" s="1"/>
  <c r="O8" i="1"/>
  <c r="P8" i="1" s="1"/>
  <c r="M8" i="1"/>
  <c r="N8" i="1" s="1"/>
  <c r="K8" i="1"/>
  <c r="L8" i="1" s="1"/>
  <c r="I8" i="1"/>
  <c r="J8" i="1" s="1"/>
  <c r="G8" i="1"/>
  <c r="H8" i="1" s="1"/>
  <c r="C12" i="1"/>
  <c r="Q12" i="1"/>
  <c r="R12" i="1" s="1"/>
  <c r="O12" i="1"/>
  <c r="P12" i="1" s="1"/>
  <c r="M12" i="1"/>
  <c r="N12" i="1" s="1"/>
  <c r="K12" i="1"/>
  <c r="L12" i="1" s="1"/>
  <c r="I12" i="1"/>
  <c r="J12" i="1" s="1"/>
  <c r="G12" i="1"/>
  <c r="H12" i="1" s="1"/>
  <c r="C16" i="1"/>
  <c r="Q16" i="1"/>
  <c r="R16" i="1" s="1"/>
  <c r="O16" i="1"/>
  <c r="P16" i="1" s="1"/>
  <c r="M16" i="1"/>
  <c r="N16" i="1" s="1"/>
  <c r="K16" i="1"/>
  <c r="L16" i="1" s="1"/>
  <c r="I16" i="1"/>
  <c r="J16" i="1" s="1"/>
  <c r="G16" i="1"/>
  <c r="H16" i="1" s="1"/>
  <c r="C20" i="1"/>
  <c r="Q20" i="1"/>
  <c r="R20" i="1" s="1"/>
  <c r="O20" i="1"/>
  <c r="P20" i="1" s="1"/>
  <c r="M20" i="1"/>
  <c r="N20" i="1" s="1"/>
  <c r="K20" i="1"/>
  <c r="L20" i="1" s="1"/>
  <c r="I20" i="1"/>
  <c r="J20" i="1" s="1"/>
  <c r="G20" i="1"/>
  <c r="H20" i="1" s="1"/>
  <c r="C24" i="1"/>
  <c r="Q24" i="1"/>
  <c r="R24" i="1" s="1"/>
  <c r="O24" i="1"/>
  <c r="P24" i="1" s="1"/>
  <c r="M24" i="1"/>
  <c r="N24" i="1" s="1"/>
  <c r="K24" i="1"/>
  <c r="L24" i="1" s="1"/>
  <c r="I24" i="1"/>
  <c r="J24" i="1" s="1"/>
  <c r="G24" i="1"/>
  <c r="H24" i="1" s="1"/>
  <c r="R55" i="17"/>
  <c r="C5" i="1"/>
  <c r="Q5" i="1"/>
  <c r="R5" i="1" s="1"/>
  <c r="O5" i="1"/>
  <c r="P5" i="1" s="1"/>
  <c r="M5" i="1"/>
  <c r="N5" i="1" s="1"/>
  <c r="K5" i="1"/>
  <c r="L5" i="1" s="1"/>
  <c r="C9" i="1"/>
  <c r="Q9" i="1"/>
  <c r="R9" i="1" s="1"/>
  <c r="O9" i="1"/>
  <c r="P9" i="1" s="1"/>
  <c r="M9" i="1"/>
  <c r="N9" i="1" s="1"/>
  <c r="K9" i="1"/>
  <c r="L9" i="1" s="1"/>
  <c r="C13" i="1"/>
  <c r="Q13" i="1"/>
  <c r="R13" i="1" s="1"/>
  <c r="O13" i="1"/>
  <c r="P13" i="1" s="1"/>
  <c r="M13" i="1"/>
  <c r="N13" i="1" s="1"/>
  <c r="K13" i="1"/>
  <c r="L13" i="1" s="1"/>
  <c r="C17" i="1"/>
  <c r="Q17" i="1"/>
  <c r="R17" i="1" s="1"/>
  <c r="O17" i="1"/>
  <c r="P17" i="1" s="1"/>
  <c r="M17" i="1"/>
  <c r="N17" i="1" s="1"/>
  <c r="K17" i="1"/>
  <c r="L17" i="1" s="1"/>
  <c r="C21" i="1"/>
  <c r="Q21" i="1"/>
  <c r="R21" i="1" s="1"/>
  <c r="O21" i="1"/>
  <c r="P21" i="1" s="1"/>
  <c r="M21" i="1"/>
  <c r="N21" i="1" s="1"/>
  <c r="K21" i="1"/>
  <c r="L21" i="1" s="1"/>
  <c r="I21" i="1"/>
  <c r="J21" i="1" s="1"/>
  <c r="AB55" i="17"/>
  <c r="Z55" i="15"/>
  <c r="C6" i="1"/>
  <c r="Q6" i="1"/>
  <c r="R6" i="1" s="1"/>
  <c r="O6" i="1"/>
  <c r="P6" i="1" s="1"/>
  <c r="M6" i="1"/>
  <c r="N6" i="1" s="1"/>
  <c r="K6" i="1"/>
  <c r="L6" i="1" s="1"/>
  <c r="I6" i="1"/>
  <c r="J6" i="1" s="1"/>
  <c r="G6" i="1"/>
  <c r="H6" i="1" s="1"/>
  <c r="C10" i="1"/>
  <c r="Q10" i="1"/>
  <c r="R10" i="1" s="1"/>
  <c r="O10" i="1"/>
  <c r="P10" i="1" s="1"/>
  <c r="M10" i="1"/>
  <c r="N10" i="1" s="1"/>
  <c r="K10" i="1"/>
  <c r="L10" i="1" s="1"/>
  <c r="I10" i="1"/>
  <c r="J10" i="1" s="1"/>
  <c r="G10" i="1"/>
  <c r="H10" i="1" s="1"/>
  <c r="C14" i="1"/>
  <c r="Q14" i="1"/>
  <c r="R14" i="1" s="1"/>
  <c r="O14" i="1"/>
  <c r="P14" i="1" s="1"/>
  <c r="M14" i="1"/>
  <c r="N14" i="1" s="1"/>
  <c r="K14" i="1"/>
  <c r="L14" i="1" s="1"/>
  <c r="I14" i="1"/>
  <c r="J14" i="1" s="1"/>
  <c r="G14" i="1"/>
  <c r="H14" i="1" s="1"/>
  <c r="C18" i="1"/>
  <c r="Q18" i="1"/>
  <c r="R18" i="1" s="1"/>
  <c r="O18" i="1"/>
  <c r="P18" i="1" s="1"/>
  <c r="M18" i="1"/>
  <c r="N18" i="1" s="1"/>
  <c r="K18" i="1"/>
  <c r="L18" i="1" s="1"/>
  <c r="I18" i="1"/>
  <c r="J18" i="1" s="1"/>
  <c r="G18" i="1"/>
  <c r="H18" i="1" s="1"/>
  <c r="C22" i="1"/>
  <c r="Q22" i="1"/>
  <c r="R22" i="1" s="1"/>
  <c r="O22" i="1"/>
  <c r="P22" i="1" s="1"/>
  <c r="M22" i="1"/>
  <c r="N22" i="1" s="1"/>
  <c r="K22" i="1"/>
  <c r="L22" i="1" s="1"/>
  <c r="I22" i="1"/>
  <c r="J22" i="1" s="1"/>
  <c r="G22" i="1"/>
  <c r="H22" i="1" s="1"/>
  <c r="N20" i="17"/>
  <c r="AJ20" i="17" s="1"/>
  <c r="C7" i="1"/>
  <c r="Q7" i="1"/>
  <c r="R7" i="1" s="1"/>
  <c r="O7" i="1"/>
  <c r="P7" i="1" s="1"/>
  <c r="M7" i="1"/>
  <c r="N7" i="1" s="1"/>
  <c r="K7" i="1"/>
  <c r="L7" i="1" s="1"/>
  <c r="C11" i="1"/>
  <c r="Q11" i="1"/>
  <c r="R11" i="1" s="1"/>
  <c r="O11" i="1"/>
  <c r="P11" i="1" s="1"/>
  <c r="M11" i="1"/>
  <c r="N11" i="1" s="1"/>
  <c r="K11" i="1"/>
  <c r="L11" i="1" s="1"/>
  <c r="C15" i="1"/>
  <c r="Q15" i="1"/>
  <c r="R15" i="1" s="1"/>
  <c r="O15" i="1"/>
  <c r="P15" i="1" s="1"/>
  <c r="M15" i="1"/>
  <c r="N15" i="1" s="1"/>
  <c r="K15" i="1"/>
  <c r="L15" i="1" s="1"/>
  <c r="C19" i="1"/>
  <c r="Q19" i="1"/>
  <c r="R19" i="1" s="1"/>
  <c r="O19" i="1"/>
  <c r="P19" i="1" s="1"/>
  <c r="M19" i="1"/>
  <c r="N19" i="1" s="1"/>
  <c r="K19" i="1"/>
  <c r="L19" i="1" s="1"/>
  <c r="I19" i="1"/>
  <c r="J19" i="1" s="1"/>
  <c r="C23" i="1"/>
  <c r="Q23" i="1"/>
  <c r="R23" i="1" s="1"/>
  <c r="O23" i="1"/>
  <c r="P23" i="1" s="1"/>
  <c r="M23" i="1"/>
  <c r="N23" i="1" s="1"/>
  <c r="K23" i="1"/>
  <c r="L23" i="1" s="1"/>
  <c r="I23" i="1"/>
  <c r="J23" i="1" s="1"/>
  <c r="Z54" i="19"/>
  <c r="J54" i="19"/>
  <c r="Z50" i="19"/>
  <c r="J50" i="19"/>
  <c r="Z46" i="19"/>
  <c r="J46" i="19"/>
  <c r="Z42" i="19"/>
  <c r="J42" i="19"/>
  <c r="Z38" i="19"/>
  <c r="J38" i="19"/>
  <c r="Z34" i="19"/>
  <c r="J34" i="19"/>
  <c r="Z30" i="19"/>
  <c r="V26" i="7"/>
  <c r="V34" i="7"/>
  <c r="V42" i="7"/>
  <c r="Z54" i="7"/>
  <c r="L54" i="7"/>
  <c r="L50" i="7"/>
  <c r="Z50" i="7"/>
  <c r="Z46" i="7"/>
  <c r="L46" i="7"/>
  <c r="L42" i="7"/>
  <c r="Z42" i="7"/>
  <c r="Z38" i="7"/>
  <c r="L38" i="7"/>
  <c r="L34" i="7"/>
  <c r="Z34" i="7"/>
  <c r="Z30" i="7"/>
  <c r="L30" i="7"/>
  <c r="Z26" i="7"/>
  <c r="L26" i="7"/>
  <c r="Z22" i="7"/>
  <c r="L22" i="7"/>
  <c r="J52" i="20"/>
  <c r="L52" i="20" s="1"/>
  <c r="Z52" i="20"/>
  <c r="J48" i="20"/>
  <c r="Z48" i="20"/>
  <c r="J44" i="20"/>
  <c r="L44" i="20" s="1"/>
  <c r="Z44" i="20"/>
  <c r="J40" i="20"/>
  <c r="L40" i="20"/>
  <c r="R40" i="20" s="1"/>
  <c r="Z40" i="20"/>
  <c r="J36" i="20"/>
  <c r="L36" i="20" s="1"/>
  <c r="Z36" i="20"/>
  <c r="J32" i="20"/>
  <c r="Z32" i="20"/>
  <c r="J28" i="20"/>
  <c r="Z28" i="20"/>
  <c r="J24" i="20"/>
  <c r="Z24" i="20"/>
  <c r="L24" i="20"/>
  <c r="R24" i="20" s="1"/>
  <c r="Z20" i="20"/>
  <c r="J20" i="20"/>
  <c r="L20" i="20"/>
  <c r="R20" i="20" s="1"/>
  <c r="J19" i="7"/>
  <c r="L19" i="7" s="1"/>
  <c r="R19" i="7" s="1"/>
  <c r="A19" i="7"/>
  <c r="C22" i="22" s="1"/>
  <c r="X22" i="7"/>
  <c r="X30" i="7"/>
  <c r="X38" i="7"/>
  <c r="X54" i="7"/>
  <c r="Z22" i="19"/>
  <c r="A21" i="7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Z52" i="19"/>
  <c r="J52" i="19"/>
  <c r="Z48" i="19"/>
  <c r="J48" i="19"/>
  <c r="Z44" i="19"/>
  <c r="J44" i="19"/>
  <c r="Z40" i="19"/>
  <c r="J40" i="19"/>
  <c r="Z36" i="19"/>
  <c r="J36" i="19"/>
  <c r="Z32" i="19"/>
  <c r="J32" i="19"/>
  <c r="J28" i="19"/>
  <c r="J24" i="19"/>
  <c r="A20" i="19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J20" i="19"/>
  <c r="Z20" i="19"/>
  <c r="J22" i="19"/>
  <c r="J26" i="19"/>
  <c r="J30" i="19"/>
  <c r="Z26" i="19"/>
  <c r="J52" i="7"/>
  <c r="Z52" i="7"/>
  <c r="AA52" i="7" s="1"/>
  <c r="Z48" i="7"/>
  <c r="J48" i="7"/>
  <c r="J44" i="7"/>
  <c r="Z44" i="7"/>
  <c r="Z40" i="7"/>
  <c r="J40" i="7"/>
  <c r="J36" i="7"/>
  <c r="Z36" i="7"/>
  <c r="Z32" i="7"/>
  <c r="J32" i="7"/>
  <c r="Z28" i="7"/>
  <c r="J28" i="7"/>
  <c r="Z24" i="7"/>
  <c r="J24" i="7"/>
  <c r="A20" i="7"/>
  <c r="J20" i="7"/>
  <c r="D1" i="16"/>
  <c r="A6" i="16" s="1"/>
  <c r="R21" i="7"/>
  <c r="L21" i="17"/>
  <c r="L25" i="17"/>
  <c r="R25" i="7"/>
  <c r="L29" i="17"/>
  <c r="R29" i="7"/>
  <c r="L33" i="17"/>
  <c r="R33" i="7"/>
  <c r="L37" i="17"/>
  <c r="R37" i="7"/>
  <c r="L41" i="17"/>
  <c r="R41" i="7"/>
  <c r="L45" i="17"/>
  <c r="R45" i="7"/>
  <c r="L49" i="17"/>
  <c r="R49" i="7"/>
  <c r="R53" i="7"/>
  <c r="L53" i="17"/>
  <c r="C16" i="15"/>
  <c r="C16" i="7"/>
  <c r="C16" i="19"/>
  <c r="C16" i="20"/>
  <c r="L23" i="17"/>
  <c r="R23" i="7"/>
  <c r="L27" i="17"/>
  <c r="R27" i="7"/>
  <c r="L31" i="17"/>
  <c r="R31" i="7"/>
  <c r="L35" i="17"/>
  <c r="R35" i="7"/>
  <c r="L39" i="17"/>
  <c r="R39" i="7"/>
  <c r="L43" i="17"/>
  <c r="R43" i="7"/>
  <c r="R47" i="7"/>
  <c r="L47" i="17"/>
  <c r="R51" i="7"/>
  <c r="L51" i="17"/>
  <c r="AF20" i="17"/>
  <c r="AF22" i="17"/>
  <c r="AF24" i="17"/>
  <c r="AF26" i="17"/>
  <c r="AF30" i="17"/>
  <c r="AF34" i="17"/>
  <c r="AF38" i="17"/>
  <c r="AF40" i="17"/>
  <c r="AF42" i="17"/>
  <c r="AF46" i="17"/>
  <c r="AF50" i="17"/>
  <c r="AF54" i="17"/>
  <c r="X21" i="7"/>
  <c r="T21" i="7"/>
  <c r="AF21" i="17"/>
  <c r="AF23" i="17"/>
  <c r="AF25" i="17"/>
  <c r="AF27" i="17"/>
  <c r="AF29" i="17"/>
  <c r="AF31" i="17"/>
  <c r="AF33" i="17"/>
  <c r="AF35" i="17"/>
  <c r="V35" i="17"/>
  <c r="AF37" i="17"/>
  <c r="V37" i="17"/>
  <c r="A19" i="20"/>
  <c r="L19" i="20"/>
  <c r="R19" i="20" s="1"/>
  <c r="Z19" i="20" s="1"/>
  <c r="AA19" i="20" s="1"/>
  <c r="A19" i="17"/>
  <c r="Z19" i="17"/>
  <c r="Z55" i="17" s="1"/>
  <c r="D21" i="18"/>
  <c r="D22" i="18" s="1"/>
  <c r="F25" i="18"/>
  <c r="F26" i="18" s="1"/>
  <c r="AF39" i="17"/>
  <c r="AF41" i="17"/>
  <c r="AF43" i="17"/>
  <c r="AF45" i="17"/>
  <c r="AF47" i="17"/>
  <c r="AF49" i="17"/>
  <c r="AF51" i="17"/>
  <c r="AF53" i="17"/>
  <c r="C2" i="22"/>
  <c r="H14" i="8"/>
  <c r="X19" i="17" l="1"/>
  <c r="AK19" i="17" s="1"/>
  <c r="AF19" i="17"/>
  <c r="H32" i="18" s="1"/>
  <c r="AH19" i="17"/>
  <c r="AL19" i="17" s="1"/>
  <c r="E15" i="17"/>
  <c r="AI35" i="17"/>
  <c r="AI28" i="17"/>
  <c r="AI34" i="17"/>
  <c r="AI49" i="17"/>
  <c r="L19" i="17"/>
  <c r="D32" i="18" s="1"/>
  <c r="AI50" i="17"/>
  <c r="AI42" i="17"/>
  <c r="AI51" i="17"/>
  <c r="AI44" i="17"/>
  <c r="AI33" i="17"/>
  <c r="AI25" i="17"/>
  <c r="AI41" i="17"/>
  <c r="AI36" i="17"/>
  <c r="AI52" i="17"/>
  <c r="AI27" i="17"/>
  <c r="AI43" i="17"/>
  <c r="AI22" i="17"/>
  <c r="AI30" i="17"/>
  <c r="AI38" i="17"/>
  <c r="AI46" i="17"/>
  <c r="AI54" i="17"/>
  <c r="AI21" i="17"/>
  <c r="AI29" i="17"/>
  <c r="AI37" i="17"/>
  <c r="AI45" i="17"/>
  <c r="AI53" i="17"/>
  <c r="AI24" i="17"/>
  <c r="AI32" i="17"/>
  <c r="AI40" i="17"/>
  <c r="AI48" i="17"/>
  <c r="C16" i="17"/>
  <c r="AI23" i="17"/>
  <c r="AI31" i="17"/>
  <c r="AI39" i="17"/>
  <c r="R36" i="20"/>
  <c r="AF36" i="17"/>
  <c r="R44" i="20"/>
  <c r="AF44" i="17"/>
  <c r="R52" i="20"/>
  <c r="AF52" i="17"/>
  <c r="AA24" i="7"/>
  <c r="N24" i="17"/>
  <c r="AJ24" i="17" s="1"/>
  <c r="N36" i="17"/>
  <c r="AJ36" i="17" s="1"/>
  <c r="AA36" i="7"/>
  <c r="AA40" i="7"/>
  <c r="N40" i="17"/>
  <c r="AJ40" i="17" s="1"/>
  <c r="L30" i="19"/>
  <c r="AD30" i="19"/>
  <c r="V30" i="19"/>
  <c r="X30" i="19"/>
  <c r="T30" i="19"/>
  <c r="T30" i="17"/>
  <c r="L20" i="19"/>
  <c r="V20" i="19"/>
  <c r="X20" i="19"/>
  <c r="T20" i="19"/>
  <c r="AD20" i="19"/>
  <c r="T20" i="17"/>
  <c r="L28" i="19"/>
  <c r="X28" i="19"/>
  <c r="V28" i="19"/>
  <c r="AD28" i="19"/>
  <c r="T28" i="19"/>
  <c r="T28" i="17"/>
  <c r="L40" i="19"/>
  <c r="T40" i="19"/>
  <c r="AD40" i="19"/>
  <c r="X40" i="19"/>
  <c r="V40" i="19"/>
  <c r="T40" i="17"/>
  <c r="AA44" i="19"/>
  <c r="X44" i="17"/>
  <c r="AK44" i="17" s="1"/>
  <c r="T19" i="7"/>
  <c r="X19" i="7"/>
  <c r="AD19" i="7"/>
  <c r="V19" i="7"/>
  <c r="J19" i="17"/>
  <c r="AA28" i="20"/>
  <c r="AH28" i="17"/>
  <c r="AL28" i="17" s="1"/>
  <c r="T32" i="20"/>
  <c r="AD32" i="20"/>
  <c r="X32" i="20"/>
  <c r="V32" i="20"/>
  <c r="AD32" i="17"/>
  <c r="AA40" i="20"/>
  <c r="AH40" i="17"/>
  <c r="AL40" i="17" s="1"/>
  <c r="AD48" i="20"/>
  <c r="X48" i="20"/>
  <c r="V48" i="20"/>
  <c r="AD48" i="17"/>
  <c r="T48" i="20"/>
  <c r="L22" i="17"/>
  <c r="R22" i="7"/>
  <c r="N26" i="17"/>
  <c r="AJ26" i="17" s="1"/>
  <c r="AA26" i="7"/>
  <c r="L38" i="17"/>
  <c r="R38" i="7"/>
  <c r="L42" i="17"/>
  <c r="R42" i="7"/>
  <c r="L54" i="17"/>
  <c r="R54" i="7"/>
  <c r="AA30" i="19"/>
  <c r="X30" i="17"/>
  <c r="AK30" i="17" s="1"/>
  <c r="L42" i="19"/>
  <c r="AD42" i="19"/>
  <c r="X42" i="19"/>
  <c r="V42" i="19"/>
  <c r="T42" i="19"/>
  <c r="T42" i="17"/>
  <c r="AA46" i="19"/>
  <c r="X46" i="17"/>
  <c r="AK46" i="17" s="1"/>
  <c r="AD20" i="7"/>
  <c r="L20" i="7"/>
  <c r="T20" i="7"/>
  <c r="V20" i="7"/>
  <c r="X20" i="7"/>
  <c r="J20" i="17"/>
  <c r="X32" i="7"/>
  <c r="L32" i="7"/>
  <c r="AD32" i="7"/>
  <c r="T32" i="7"/>
  <c r="V32" i="7"/>
  <c r="J32" i="17"/>
  <c r="T36" i="7"/>
  <c r="L36" i="7"/>
  <c r="AD36" i="7"/>
  <c r="V36" i="7"/>
  <c r="X36" i="7"/>
  <c r="J36" i="17"/>
  <c r="L48" i="7"/>
  <c r="AD48" i="7"/>
  <c r="X48" i="7"/>
  <c r="V48" i="7"/>
  <c r="T48" i="7"/>
  <c r="J48" i="17"/>
  <c r="L52" i="7"/>
  <c r="AD52" i="7"/>
  <c r="X52" i="7"/>
  <c r="V52" i="7"/>
  <c r="T52" i="7"/>
  <c r="J52" i="17"/>
  <c r="L26" i="19"/>
  <c r="AD26" i="19"/>
  <c r="X26" i="19"/>
  <c r="V26" i="19"/>
  <c r="T26" i="19"/>
  <c r="T26" i="17"/>
  <c r="L36" i="19"/>
  <c r="T36" i="19"/>
  <c r="X36" i="19"/>
  <c r="AD36" i="19"/>
  <c r="V36" i="19"/>
  <c r="T36" i="17"/>
  <c r="AA40" i="19"/>
  <c r="X40" i="17"/>
  <c r="AK40" i="17" s="1"/>
  <c r="L52" i="19"/>
  <c r="X52" i="19"/>
  <c r="AD52" i="19"/>
  <c r="V52" i="19"/>
  <c r="T52" i="19"/>
  <c r="T52" i="17"/>
  <c r="AA22" i="19"/>
  <c r="X22" i="17"/>
  <c r="AK22" i="17" s="1"/>
  <c r="AA24" i="20"/>
  <c r="AH24" i="17"/>
  <c r="AL24" i="17" s="1"/>
  <c r="T28" i="20"/>
  <c r="AD28" i="20"/>
  <c r="X28" i="20"/>
  <c r="V28" i="20"/>
  <c r="AD28" i="17"/>
  <c r="AA36" i="20"/>
  <c r="AH36" i="17"/>
  <c r="AL36" i="17" s="1"/>
  <c r="T44" i="20"/>
  <c r="AD44" i="20"/>
  <c r="X44" i="20"/>
  <c r="V44" i="20"/>
  <c r="AD44" i="17"/>
  <c r="AA52" i="20"/>
  <c r="AH52" i="17"/>
  <c r="AL52" i="17" s="1"/>
  <c r="N22" i="17"/>
  <c r="AJ22" i="17" s="1"/>
  <c r="AA22" i="7"/>
  <c r="N34" i="17"/>
  <c r="AJ34" i="17" s="1"/>
  <c r="AA34" i="7"/>
  <c r="N38" i="17"/>
  <c r="AJ38" i="17" s="1"/>
  <c r="AA38" i="7"/>
  <c r="N50" i="17"/>
  <c r="AJ50" i="17" s="1"/>
  <c r="AA50" i="7"/>
  <c r="N54" i="17"/>
  <c r="AJ54" i="17" s="1"/>
  <c r="AA54" i="7"/>
  <c r="L38" i="19"/>
  <c r="AD38" i="19"/>
  <c r="X38" i="19"/>
  <c r="T38" i="19"/>
  <c r="V38" i="19"/>
  <c r="T38" i="17"/>
  <c r="AA42" i="19"/>
  <c r="X42" i="17"/>
  <c r="AK42" i="17" s="1"/>
  <c r="L54" i="19"/>
  <c r="T54" i="19"/>
  <c r="AD54" i="19"/>
  <c r="V54" i="19"/>
  <c r="X54" i="19"/>
  <c r="T54" i="17"/>
  <c r="T28" i="7"/>
  <c r="L28" i="7"/>
  <c r="AD28" i="7"/>
  <c r="V28" i="7"/>
  <c r="X28" i="7"/>
  <c r="J28" i="17"/>
  <c r="N32" i="17"/>
  <c r="AJ32" i="17" s="1"/>
  <c r="AA32" i="7"/>
  <c r="N44" i="17"/>
  <c r="AJ44" i="17" s="1"/>
  <c r="AA44" i="7"/>
  <c r="N48" i="17"/>
  <c r="AJ48" i="17" s="1"/>
  <c r="AA48" i="7"/>
  <c r="L22" i="19"/>
  <c r="AD22" i="19"/>
  <c r="T22" i="19"/>
  <c r="V22" i="19"/>
  <c r="X22" i="19"/>
  <c r="T22" i="17"/>
  <c r="L24" i="19"/>
  <c r="T24" i="19"/>
  <c r="AD24" i="19"/>
  <c r="X24" i="19"/>
  <c r="V24" i="19"/>
  <c r="T24" i="17"/>
  <c r="L32" i="19"/>
  <c r="T32" i="19"/>
  <c r="AD32" i="19"/>
  <c r="X32" i="19"/>
  <c r="V32" i="19"/>
  <c r="T32" i="17"/>
  <c r="AA36" i="19"/>
  <c r="X36" i="17"/>
  <c r="AK36" i="17" s="1"/>
  <c r="L48" i="19"/>
  <c r="AD48" i="19"/>
  <c r="V48" i="19"/>
  <c r="T48" i="19"/>
  <c r="X48" i="19"/>
  <c r="T48" i="17"/>
  <c r="AA52" i="19"/>
  <c r="X52" i="17"/>
  <c r="AK52" i="17" s="1"/>
  <c r="N52" i="17"/>
  <c r="AJ52" i="17" s="1"/>
  <c r="X20" i="20"/>
  <c r="AD20" i="20"/>
  <c r="T20" i="20"/>
  <c r="V20" i="20"/>
  <c r="AD20" i="17"/>
  <c r="T24" i="20"/>
  <c r="AD24" i="20"/>
  <c r="X24" i="20"/>
  <c r="V24" i="20"/>
  <c r="AD24" i="17"/>
  <c r="AA32" i="20"/>
  <c r="AH32" i="17"/>
  <c r="AL32" i="17" s="1"/>
  <c r="T40" i="20"/>
  <c r="AD40" i="20"/>
  <c r="X40" i="20"/>
  <c r="V40" i="20"/>
  <c r="AD40" i="17"/>
  <c r="AA48" i="20"/>
  <c r="AH48" i="17"/>
  <c r="AL48" i="17" s="1"/>
  <c r="L30" i="17"/>
  <c r="R30" i="7"/>
  <c r="L34" i="17"/>
  <c r="R34" i="7"/>
  <c r="L46" i="17"/>
  <c r="R46" i="7"/>
  <c r="L50" i="17"/>
  <c r="R50" i="7"/>
  <c r="L34" i="19"/>
  <c r="AD34" i="19"/>
  <c r="X34" i="19"/>
  <c r="V34" i="19"/>
  <c r="T34" i="19"/>
  <c r="T34" i="17"/>
  <c r="AA38" i="19"/>
  <c r="X38" i="17"/>
  <c r="AK38" i="17" s="1"/>
  <c r="L50" i="19"/>
  <c r="AD50" i="19"/>
  <c r="T50" i="19"/>
  <c r="X50" i="19"/>
  <c r="V50" i="19"/>
  <c r="T50" i="17"/>
  <c r="AA54" i="19"/>
  <c r="X54" i="17"/>
  <c r="AK54" i="17" s="1"/>
  <c r="X24" i="7"/>
  <c r="L24" i="7"/>
  <c r="AD24" i="7"/>
  <c r="T24" i="7"/>
  <c r="V24" i="7"/>
  <c r="J24" i="17"/>
  <c r="N28" i="17"/>
  <c r="AJ28" i="17" s="1"/>
  <c r="AA28" i="7"/>
  <c r="X40" i="7"/>
  <c r="L40" i="7"/>
  <c r="AD40" i="7"/>
  <c r="T40" i="7"/>
  <c r="V40" i="7"/>
  <c r="J40" i="17"/>
  <c r="T44" i="7"/>
  <c r="L44" i="7"/>
  <c r="AD44" i="7"/>
  <c r="V44" i="7"/>
  <c r="X44" i="7"/>
  <c r="J44" i="17"/>
  <c r="AA26" i="19"/>
  <c r="X26" i="17"/>
  <c r="AK26" i="17" s="1"/>
  <c r="AA20" i="19"/>
  <c r="X20" i="17"/>
  <c r="AK20" i="17" s="1"/>
  <c r="AA32" i="19"/>
  <c r="X32" i="17"/>
  <c r="AK32" i="17" s="1"/>
  <c r="L44" i="19"/>
  <c r="T44" i="19"/>
  <c r="X44" i="19"/>
  <c r="V44" i="19"/>
  <c r="AD44" i="19"/>
  <c r="T44" i="17"/>
  <c r="AA48" i="19"/>
  <c r="X48" i="17"/>
  <c r="AK48" i="17" s="1"/>
  <c r="D25" i="18"/>
  <c r="D26" i="18" s="1"/>
  <c r="A1" i="18"/>
  <c r="B1" i="18" s="1"/>
  <c r="C28" i="22"/>
  <c r="C40" i="22"/>
  <c r="C52" i="22"/>
  <c r="C64" i="22"/>
  <c r="C76" i="22"/>
  <c r="C88" i="22"/>
  <c r="C100" i="22"/>
  <c r="C112" i="22"/>
  <c r="C115" i="22"/>
  <c r="C31" i="22"/>
  <c r="C43" i="22"/>
  <c r="C55" i="22"/>
  <c r="C67" i="22"/>
  <c r="C79" i="22"/>
  <c r="C91" i="22"/>
  <c r="C103" i="22"/>
  <c r="C34" i="22"/>
  <c r="C46" i="22"/>
  <c r="C58" i="22"/>
  <c r="C70" i="22"/>
  <c r="C82" i="22"/>
  <c r="C94" i="22"/>
  <c r="C106" i="22"/>
  <c r="C118" i="22"/>
  <c r="C37" i="22"/>
  <c r="C49" i="22"/>
  <c r="C61" i="22"/>
  <c r="C73" i="22"/>
  <c r="C85" i="22"/>
  <c r="C97" i="22"/>
  <c r="C109" i="22"/>
  <c r="C121" i="22"/>
  <c r="C25" i="22"/>
  <c r="C124" i="22"/>
  <c r="AA20" i="20"/>
  <c r="AH20" i="17"/>
  <c r="AL20" i="17" s="1"/>
  <c r="AH55" i="17" s="1"/>
  <c r="L28" i="20"/>
  <c r="L32" i="20"/>
  <c r="T36" i="20"/>
  <c r="AD36" i="20"/>
  <c r="X36" i="20"/>
  <c r="V36" i="20"/>
  <c r="AD36" i="17"/>
  <c r="AA44" i="20"/>
  <c r="AH44" i="17"/>
  <c r="AL44" i="17" s="1"/>
  <c r="L48" i="20"/>
  <c r="AD52" i="20"/>
  <c r="T52" i="20"/>
  <c r="X52" i="20"/>
  <c r="V52" i="20"/>
  <c r="AD52" i="17"/>
  <c r="L26" i="17"/>
  <c r="R26" i="7"/>
  <c r="N30" i="17"/>
  <c r="AJ30" i="17" s="1"/>
  <c r="AA30" i="7"/>
  <c r="N42" i="17"/>
  <c r="AJ42" i="17" s="1"/>
  <c r="AA42" i="7"/>
  <c r="N46" i="17"/>
  <c r="AJ46" i="17" s="1"/>
  <c r="AA46" i="7"/>
  <c r="AA34" i="19"/>
  <c r="X34" i="17"/>
  <c r="AK34" i="17" s="1"/>
  <c r="L46" i="19"/>
  <c r="AD46" i="19"/>
  <c r="X46" i="19"/>
  <c r="T46" i="19"/>
  <c r="V46" i="19"/>
  <c r="T46" i="17"/>
  <c r="AA50" i="19"/>
  <c r="X50" i="17"/>
  <c r="AK50" i="17" s="1"/>
  <c r="D31" i="1"/>
  <c r="D29" i="1"/>
  <c r="H54" i="8"/>
  <c r="B125" i="22" s="1"/>
  <c r="C125" i="22" s="1"/>
  <c r="H51" i="8"/>
  <c r="B116" i="22" s="1"/>
  <c r="C116" i="22" s="1"/>
  <c r="H47" i="8"/>
  <c r="B104" i="22" s="1"/>
  <c r="C104" i="22" s="1"/>
  <c r="H43" i="8"/>
  <c r="B92" i="22" s="1"/>
  <c r="C92" i="22" s="1"/>
  <c r="H39" i="8"/>
  <c r="B80" i="22" s="1"/>
  <c r="C80" i="22" s="1"/>
  <c r="H35" i="8"/>
  <c r="B68" i="22" s="1"/>
  <c r="C68" i="22" s="1"/>
  <c r="H31" i="8"/>
  <c r="B56" i="22" s="1"/>
  <c r="C56" i="22" s="1"/>
  <c r="H27" i="8"/>
  <c r="B44" i="22" s="1"/>
  <c r="C44" i="22" s="1"/>
  <c r="H23" i="8"/>
  <c r="B32" i="22" s="1"/>
  <c r="C32" i="22" s="1"/>
  <c r="H53" i="8"/>
  <c r="B122" i="22" s="1"/>
  <c r="C122" i="22" s="1"/>
  <c r="H49" i="8"/>
  <c r="B110" i="22" s="1"/>
  <c r="C110" i="22" s="1"/>
  <c r="H45" i="8"/>
  <c r="B98" i="22" s="1"/>
  <c r="C98" i="22" s="1"/>
  <c r="H41" i="8"/>
  <c r="B86" i="22" s="1"/>
  <c r="C86" i="22" s="1"/>
  <c r="H37" i="8"/>
  <c r="B74" i="22" s="1"/>
  <c r="C74" i="22" s="1"/>
  <c r="H33" i="8"/>
  <c r="B62" i="22" s="1"/>
  <c r="C62" i="22" s="1"/>
  <c r="H29" i="8"/>
  <c r="B50" i="22" s="1"/>
  <c r="C50" i="22" s="1"/>
  <c r="H21" i="8"/>
  <c r="B26" i="22" s="1"/>
  <c r="C26" i="22" s="1"/>
  <c r="H20" i="8"/>
  <c r="B23" i="22" s="1"/>
  <c r="C23" i="22" s="1"/>
  <c r="I14" i="8"/>
  <c r="I13" i="8" s="1"/>
  <c r="C3" i="19" s="1"/>
  <c r="J14" i="8"/>
  <c r="J13" i="8" s="1"/>
  <c r="C3" i="17" s="1"/>
  <c r="H25" i="8"/>
  <c r="B38" i="22" s="1"/>
  <c r="C38" i="22" s="1"/>
  <c r="K14" i="8"/>
  <c r="K13" i="8" s="1"/>
  <c r="H9" i="8"/>
  <c r="H50" i="8"/>
  <c r="B113" i="22" s="1"/>
  <c r="C113" i="22" s="1"/>
  <c r="H44" i="8"/>
  <c r="B95" i="22" s="1"/>
  <c r="C95" i="22" s="1"/>
  <c r="H36" i="8"/>
  <c r="B71" i="22" s="1"/>
  <c r="C71" i="22" s="1"/>
  <c r="H28" i="8"/>
  <c r="B47" i="22" s="1"/>
  <c r="C47" i="22" s="1"/>
  <c r="H19" i="8"/>
  <c r="B20" i="22" s="1"/>
  <c r="C20" i="22" s="1"/>
  <c r="F29" i="18"/>
  <c r="A20" i="17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F31" i="18"/>
  <c r="H31" i="18"/>
  <c r="H52" i="8"/>
  <c r="B119" i="22" s="1"/>
  <c r="C119" i="22" s="1"/>
  <c r="H42" i="8"/>
  <c r="B89" i="22" s="1"/>
  <c r="C89" i="22" s="1"/>
  <c r="H34" i="8"/>
  <c r="B65" i="22" s="1"/>
  <c r="C65" i="22" s="1"/>
  <c r="H26" i="8"/>
  <c r="B41" i="22" s="1"/>
  <c r="C41" i="22" s="1"/>
  <c r="H22" i="8"/>
  <c r="B29" i="22" s="1"/>
  <c r="C29" i="22" s="1"/>
  <c r="H48" i="8"/>
  <c r="B107" i="22" s="1"/>
  <c r="C107" i="22" s="1"/>
  <c r="H40" i="8"/>
  <c r="B83" i="22" s="1"/>
  <c r="C83" i="22" s="1"/>
  <c r="H32" i="8"/>
  <c r="B59" i="22" s="1"/>
  <c r="C59" i="22" s="1"/>
  <c r="H24" i="8"/>
  <c r="B35" i="22" s="1"/>
  <c r="C35" i="22" s="1"/>
  <c r="H25" i="18"/>
  <c r="H26" i="18" s="1"/>
  <c r="H21" i="18"/>
  <c r="H22" i="18" s="1"/>
  <c r="A20" i="20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C27" i="22"/>
  <c r="C30" i="22"/>
  <c r="C33" i="22"/>
  <c r="C36" i="22"/>
  <c r="C39" i="22"/>
  <c r="C48" i="22"/>
  <c r="C51" i="22"/>
  <c r="C60" i="22"/>
  <c r="C63" i="22"/>
  <c r="C72" i="22"/>
  <c r="C75" i="22"/>
  <c r="C84" i="22"/>
  <c r="C87" i="22"/>
  <c r="C96" i="22"/>
  <c r="C99" i="22"/>
  <c r="C108" i="22"/>
  <c r="C111" i="22"/>
  <c r="C120" i="22"/>
  <c r="C123" i="22"/>
  <c r="C21" i="22"/>
  <c r="C24" i="22"/>
  <c r="H46" i="8"/>
  <c r="B101" i="22" s="1"/>
  <c r="C101" i="22" s="1"/>
  <c r="H38" i="8"/>
  <c r="B77" i="22" s="1"/>
  <c r="C77" i="22" s="1"/>
  <c r="H30" i="8"/>
  <c r="B53" i="22" s="1"/>
  <c r="C53" i="22" s="1"/>
  <c r="Z19" i="7" l="1"/>
  <c r="AA19" i="7" s="1"/>
  <c r="Z55" i="7" s="1"/>
  <c r="X55" i="17"/>
  <c r="C117" i="22"/>
  <c r="C105" i="22"/>
  <c r="C93" i="22"/>
  <c r="C81" i="22"/>
  <c r="C69" i="22"/>
  <c r="C57" i="22"/>
  <c r="C45" i="22"/>
  <c r="C126" i="22"/>
  <c r="C114" i="22"/>
  <c r="C102" i="22"/>
  <c r="C90" i="22"/>
  <c r="C78" i="22"/>
  <c r="C66" i="22"/>
  <c r="C54" i="22"/>
  <c r="C42" i="22"/>
  <c r="H30" i="18"/>
  <c r="C19" i="22"/>
  <c r="D30" i="18"/>
  <c r="AI19" i="17"/>
  <c r="D31" i="18"/>
  <c r="D29" i="18"/>
  <c r="A35" i="18" s="1"/>
  <c r="Z55" i="20"/>
  <c r="L44" i="17"/>
  <c r="R44" i="7"/>
  <c r="V50" i="17"/>
  <c r="R50" i="19"/>
  <c r="V34" i="17"/>
  <c r="R34" i="19"/>
  <c r="V48" i="17"/>
  <c r="R48" i="19"/>
  <c r="V32" i="17"/>
  <c r="R32" i="19"/>
  <c r="V22" i="17"/>
  <c r="R22" i="19"/>
  <c r="V52" i="17"/>
  <c r="R52" i="19"/>
  <c r="V36" i="17"/>
  <c r="R36" i="19"/>
  <c r="L52" i="17"/>
  <c r="R52" i="7"/>
  <c r="V42" i="17"/>
  <c r="R42" i="19"/>
  <c r="V46" i="17"/>
  <c r="R46" i="19"/>
  <c r="R48" i="20"/>
  <c r="AF48" i="17"/>
  <c r="R32" i="20"/>
  <c r="AF32" i="17"/>
  <c r="V44" i="17"/>
  <c r="R44" i="19"/>
  <c r="Z55" i="19"/>
  <c r="L32" i="17"/>
  <c r="R32" i="7"/>
  <c r="R28" i="19"/>
  <c r="V28" i="17"/>
  <c r="V30" i="17"/>
  <c r="R30" i="19"/>
  <c r="R28" i="20"/>
  <c r="AF28" i="17"/>
  <c r="L40" i="17"/>
  <c r="R40" i="7"/>
  <c r="L24" i="17"/>
  <c r="R24" i="7"/>
  <c r="V24" i="17"/>
  <c r="R24" i="19"/>
  <c r="R54" i="19"/>
  <c r="V54" i="17"/>
  <c r="V38" i="17"/>
  <c r="R38" i="19"/>
  <c r="R26" i="19"/>
  <c r="V26" i="17"/>
  <c r="AI26" i="17" s="1"/>
  <c r="L48" i="17"/>
  <c r="R48" i="7"/>
  <c r="L28" i="17"/>
  <c r="R28" i="7"/>
  <c r="L36" i="17"/>
  <c r="R36" i="7"/>
  <c r="L20" i="17"/>
  <c r="R20" i="7"/>
  <c r="V40" i="17"/>
  <c r="R40" i="19"/>
  <c r="V20" i="17"/>
  <c r="AI20" i="17" s="1"/>
  <c r="R20" i="19"/>
  <c r="E4" i="19"/>
  <c r="E16" i="19" s="1"/>
  <c r="D3" i="17"/>
  <c r="O16" i="17" s="1"/>
  <c r="H29" i="18"/>
  <c r="B60" i="18"/>
  <c r="A36" i="18"/>
  <c r="N19" i="17" l="1"/>
  <c r="AJ19" i="17" s="1"/>
  <c r="N55" i="17" s="1"/>
  <c r="B59" i="18"/>
  <c r="A33" i="18"/>
  <c r="B64" i="18" s="1"/>
  <c r="A29" i="18"/>
  <c r="B61" i="18"/>
  <c r="A37" i="18"/>
  <c r="A38" i="18" s="1"/>
  <c r="B67" i="18"/>
  <c r="A34" i="18"/>
  <c r="B63" i="18" s="1"/>
  <c r="B57" i="18" l="1"/>
  <c r="G66" i="18"/>
  <c r="B55" i="18"/>
  <c r="H55" i="18"/>
  <c r="B68" i="18"/>
  <c r="G67" i="18"/>
  <c r="B70" i="18"/>
  <c r="B53" i="18"/>
</calcChain>
</file>

<file path=xl/sharedStrings.xml><?xml version="1.0" encoding="utf-8"?>
<sst xmlns="http://schemas.openxmlformats.org/spreadsheetml/2006/main" count="803" uniqueCount="423">
  <si>
    <t>Vornote</t>
  </si>
  <si>
    <t>Klausur</t>
  </si>
  <si>
    <t>1</t>
  </si>
  <si>
    <t>A-Note</t>
  </si>
  <si>
    <t>2</t>
  </si>
  <si>
    <t>3</t>
  </si>
  <si>
    <t>4</t>
  </si>
  <si>
    <t>5</t>
  </si>
  <si>
    <t>6</t>
  </si>
  <si>
    <t xml:space="preserve"> 5 : 3 : 2 </t>
  </si>
  <si>
    <t>&gt;=2</t>
  </si>
  <si>
    <t>Abw.</t>
  </si>
  <si>
    <t>note</t>
  </si>
  <si>
    <t>Mittelw.-</t>
  </si>
  <si>
    <t>(5*V+3*K+2*M)/10</t>
  </si>
  <si>
    <t>&gt; 2</t>
  </si>
  <si>
    <t>V</t>
  </si>
  <si>
    <t>K</t>
  </si>
  <si>
    <t>------------------------------------------------------------------  Mündliche Prüfung  M  --------------------------------------------------------------------------</t>
  </si>
  <si>
    <t>ohne:</t>
  </si>
  <si>
    <t>mit:</t>
  </si>
  <si>
    <t>Meldung zur freiw. mdl. Prf. möglich</t>
  </si>
  <si>
    <t>mdl. Prüfung verpflichtend  (§ 32 Abs. 3 APO-S I)</t>
  </si>
  <si>
    <t>Abschlussnote gleich Vornote</t>
  </si>
  <si>
    <t>Verbes-</t>
  </si>
  <si>
    <t>serung</t>
  </si>
  <si>
    <t>Verschlech-</t>
  </si>
  <si>
    <t>terung</t>
  </si>
  <si>
    <t>bei mdl. Prf.</t>
  </si>
  <si>
    <t>=&gt;</t>
  </si>
  <si>
    <t>==</t>
  </si>
  <si>
    <r>
      <t>}</t>
    </r>
    <r>
      <rPr>
        <sz val="8"/>
        <rFont val="Arial"/>
      </rPr>
      <t xml:space="preserve">  Fachprüfungsauschuss setzt Abschlussnote fest  (§ 34 Abs. 3 Satz 1 APO-S I)</t>
    </r>
  </si>
  <si>
    <t>Stand: 19.09.2006</t>
  </si>
  <si>
    <r>
      <t>entnommen:</t>
    </r>
    <r>
      <rPr>
        <sz val="9"/>
        <rFont val="Arial"/>
      </rPr>
      <t xml:space="preserve"> </t>
    </r>
    <r>
      <rPr>
        <b/>
        <sz val="9"/>
        <rFont val="Arial"/>
      </rPr>
      <t>Durchführung der zentralen Prüfungen am Ende der Klasse 10 im Schuljahr 2006/07</t>
    </r>
    <r>
      <rPr>
        <sz val="9"/>
        <rFont val="Arial"/>
      </rPr>
      <t xml:space="preserve"> (RdErl. des Ministeriums für Schule und Weiterbildung vom 21. April 2006)</t>
    </r>
  </si>
  <si>
    <t>54 x</t>
  </si>
  <si>
    <t>13 x</t>
  </si>
  <si>
    <t>53 x</t>
  </si>
  <si>
    <t>Vergleich mit Vornote:</t>
  </si>
  <si>
    <t>--</t>
  </si>
  <si>
    <t>A-Note: Abschlussnote</t>
  </si>
  <si>
    <t>Mittelung</t>
  </si>
  <si>
    <t>1, 2, 3</t>
  </si>
  <si>
    <t>5, 6</t>
  </si>
  <si>
    <t>4, 5, 6</t>
  </si>
  <si>
    <t>1, 2</t>
  </si>
  <si>
    <t>besser</t>
  </si>
  <si>
    <t>gleich</t>
  </si>
  <si>
    <t>schlechter</t>
  </si>
  <si>
    <t>Schnitt</t>
  </si>
  <si>
    <t xml:space="preserve">  Vor-</t>
  </si>
  <si>
    <t xml:space="preserve">  note</t>
  </si>
  <si>
    <t>Prf.</t>
  </si>
  <si>
    <t xml:space="preserve">  gew.</t>
  </si>
  <si>
    <t xml:space="preserve">  Erg.</t>
  </si>
  <si>
    <t xml:space="preserve"> Ber.</t>
  </si>
  <si>
    <t>Abweichung V-K</t>
  </si>
  <si>
    <t>Name</t>
  </si>
  <si>
    <t>Vorname</t>
  </si>
  <si>
    <t>mündliche</t>
  </si>
  <si>
    <t>Wie wirkt sich eine mündliche Prüfung auf die Abschlussnote aus?</t>
  </si>
  <si>
    <t>NN 2</t>
  </si>
  <si>
    <t>NN 3</t>
  </si>
  <si>
    <t>NN 4</t>
  </si>
  <si>
    <t>NN 5</t>
  </si>
  <si>
    <t>NN 6</t>
  </si>
  <si>
    <t>NN 7</t>
  </si>
  <si>
    <t>NN 8</t>
  </si>
  <si>
    <t>NN 9</t>
  </si>
  <si>
    <t>NN 10</t>
  </si>
  <si>
    <t>NN 11</t>
  </si>
  <si>
    <t>NN 12</t>
  </si>
  <si>
    <t>NN 13</t>
  </si>
  <si>
    <t>NN 14</t>
  </si>
  <si>
    <t>NN 15</t>
  </si>
  <si>
    <t>NN 16</t>
  </si>
  <si>
    <t>NN 17</t>
  </si>
  <si>
    <t>NN 18</t>
  </si>
  <si>
    <t>NN 19</t>
  </si>
  <si>
    <t>NN 20</t>
  </si>
  <si>
    <t>NN 21</t>
  </si>
  <si>
    <t>NN 22</t>
  </si>
  <si>
    <t>NN 23</t>
  </si>
  <si>
    <t>NN 24</t>
  </si>
  <si>
    <t>NN 25</t>
  </si>
  <si>
    <t>NN 26</t>
  </si>
  <si>
    <t>NN 27</t>
  </si>
  <si>
    <t>Eintrag: j /n</t>
  </si>
  <si>
    <t xml:space="preserve">  Klau-</t>
  </si>
  <si>
    <t xml:space="preserve">  sur</t>
  </si>
  <si>
    <t>Mathematik</t>
  </si>
  <si>
    <t>==&gt;</t>
  </si>
  <si>
    <t>Ber. : Berechnung der Endnote</t>
  </si>
  <si>
    <t>gew.: gewünschte mdl. Prf.</t>
  </si>
  <si>
    <t>frw. : freiwillige mündliche Prüfung möglich</t>
  </si>
  <si>
    <t>x     : angesetzte mündliche Prüfung</t>
  </si>
  <si>
    <t>VN 3</t>
  </si>
  <si>
    <t>VN 4</t>
  </si>
  <si>
    <t>VN 5</t>
  </si>
  <si>
    <t>VN 6</t>
  </si>
  <si>
    <t>VN 7</t>
  </si>
  <si>
    <t>VN 8</t>
  </si>
  <si>
    <t>VN 9</t>
  </si>
  <si>
    <t>VN 10</t>
  </si>
  <si>
    <t>VN 11</t>
  </si>
  <si>
    <t>VN 12</t>
  </si>
  <si>
    <t>VN 13</t>
  </si>
  <si>
    <t>VN 14</t>
  </si>
  <si>
    <t>VN 15</t>
  </si>
  <si>
    <t>VN 16</t>
  </si>
  <si>
    <t>VN 17</t>
  </si>
  <si>
    <t>VN 18</t>
  </si>
  <si>
    <t>VN 19</t>
  </si>
  <si>
    <t>VN 20</t>
  </si>
  <si>
    <t>VN 21</t>
  </si>
  <si>
    <t>VN 22</t>
  </si>
  <si>
    <t>VN 23</t>
  </si>
  <si>
    <t>VN 24</t>
  </si>
  <si>
    <t>VN 25</t>
  </si>
  <si>
    <t>VN 26</t>
  </si>
  <si>
    <t>VN 27</t>
  </si>
  <si>
    <t>VN 1</t>
  </si>
  <si>
    <t>VN 2</t>
  </si>
  <si>
    <t>Absprache zwischen</t>
  </si>
  <si>
    <t>FachlehrerIn - ZweitkorrektorIn</t>
  </si>
  <si>
    <t>nur hier das Ergebnis der</t>
  </si>
  <si>
    <t>eintragen</t>
  </si>
  <si>
    <t>A-</t>
  </si>
  <si>
    <t>Abschlussnote: A-Note</t>
  </si>
  <si>
    <t xml:space="preserve"> V-K</t>
  </si>
  <si>
    <t>NN 1</t>
  </si>
  <si>
    <t>j / n</t>
  </si>
  <si>
    <t>Deutsch</t>
  </si>
  <si>
    <t>Die in dieser Klasse nicht benötigten Zeileneingaben werden gelöscht.</t>
  </si>
  <si>
    <t>Bei Abweichung von einer Notenstufe ist das Ergebis der Absprache nur in Spalte 29 einzutragen.</t>
  </si>
  <si>
    <t>Vorbereitung</t>
  </si>
  <si>
    <t>Daten- Eingabe:</t>
  </si>
  <si>
    <t>Daten- Verarbeitung:</t>
  </si>
  <si>
    <t>mdl.</t>
  </si>
  <si>
    <t xml:space="preserve"> note</t>
  </si>
  <si>
    <t>Anzeige:</t>
  </si>
  <si>
    <t>x:</t>
  </si>
  <si>
    <t>angesetzte mündliche Prüfung / mit Ergebnis</t>
  </si>
  <si>
    <t>freiwillige mündliche Prüfung möglich</t>
  </si>
  <si>
    <t xml:space="preserve">frw.: </t>
  </si>
  <si>
    <t>zur freiwilligen mündlichen Prüfung gemeldet / mit Ergebnis</t>
  </si>
  <si>
    <t xml:space="preserve">frw.: n </t>
  </si>
  <si>
    <r>
      <t xml:space="preserve">zur freiwilligen mündlichen Prüfung </t>
    </r>
    <r>
      <rPr>
        <b/>
        <u/>
        <sz val="10"/>
        <rFont val="Arial"/>
        <family val="2"/>
      </rPr>
      <t>nicht</t>
    </r>
    <r>
      <rPr>
        <b/>
        <sz val="10"/>
        <rFont val="Arial"/>
        <family val="2"/>
      </rPr>
      <t xml:space="preserve"> gemeldet</t>
    </r>
  </si>
  <si>
    <t>sehr gut</t>
  </si>
  <si>
    <t>gut</t>
  </si>
  <si>
    <t>befriedigend</t>
  </si>
  <si>
    <t>ausreichend</t>
  </si>
  <si>
    <t>NN</t>
  </si>
  <si>
    <t>mangelhaft</t>
  </si>
  <si>
    <t>ungenügend</t>
  </si>
  <si>
    <t>1. Mitteilung der Vornoten und der Ergebnisse der schriftlichen Prüfungen</t>
  </si>
  <si>
    <t>2. Angaben zu angesetzten und/oder möglichen freiwilligen mündlichen Prüfungen</t>
  </si>
  <si>
    <t>Name:</t>
  </si>
  <si>
    <t>Klasse:</t>
  </si>
  <si>
    <t>Fach</t>
  </si>
  <si>
    <t>schriftliche</t>
  </si>
  <si>
    <t>Prüfung</t>
  </si>
  <si>
    <t>freiwillig:</t>
  </si>
  <si>
    <t>Mit freundlichen Grüßen</t>
  </si>
  <si>
    <t xml:space="preserve"> Zensur bei Abw. von</t>
  </si>
  <si>
    <t xml:space="preserve">  Ber.</t>
  </si>
  <si>
    <t>KoordinatorIn</t>
  </si>
  <si>
    <r>
      <t>nur hier</t>
    </r>
    <r>
      <rPr>
        <sz val="10"/>
        <rFont val="Arial"/>
        <family val="2"/>
      </rPr>
      <t xml:space="preserve"> das Ergebnis der</t>
    </r>
  </si>
  <si>
    <t>Daten werden nur auf den Arbeitsblättern: Deutsch, Fremdsprache, Mathematik eingegeben.</t>
  </si>
  <si>
    <t>NN 29</t>
  </si>
  <si>
    <t>NN 30</t>
  </si>
  <si>
    <t>NN 31</t>
  </si>
  <si>
    <t>NN 32</t>
  </si>
  <si>
    <t>NN 33</t>
  </si>
  <si>
    <t>NN 34</t>
  </si>
  <si>
    <t>NN 35</t>
  </si>
  <si>
    <t>NN 36</t>
  </si>
  <si>
    <t>NN 28</t>
  </si>
  <si>
    <t>VN 28</t>
  </si>
  <si>
    <t>VN 29</t>
  </si>
  <si>
    <t>VN 30</t>
  </si>
  <si>
    <t>VN 31</t>
  </si>
  <si>
    <t>VN 32</t>
  </si>
  <si>
    <t>VN 33</t>
  </si>
  <si>
    <t>VN 34</t>
  </si>
  <si>
    <t>VN 35</t>
  </si>
  <si>
    <t>VN 36</t>
  </si>
  <si>
    <t>a</t>
  </si>
  <si>
    <t>E</t>
  </si>
  <si>
    <r>
      <t xml:space="preserve">Nur auf dem Arbeitsblatt </t>
    </r>
    <r>
      <rPr>
        <sz val="10"/>
        <color indexed="10"/>
        <rFont val="Arial"/>
        <family val="2"/>
      </rPr>
      <t>Vorgaben</t>
    </r>
    <r>
      <rPr>
        <sz val="10"/>
        <rFont val="Arial"/>
        <family val="2"/>
      </rPr>
      <t xml:space="preserve"> werden die Namen und Vornamen </t>
    </r>
    <r>
      <rPr>
        <b/>
        <sz val="10"/>
        <color indexed="10"/>
        <rFont val="Arial"/>
        <family val="2"/>
      </rPr>
      <t>einer</t>
    </r>
    <r>
      <rPr>
        <sz val="10"/>
        <rFont val="Arial"/>
        <family val="2"/>
      </rPr>
      <t xml:space="preserve"> Klasse ab Zelle </t>
    </r>
    <r>
      <rPr>
        <b/>
        <sz val="10"/>
        <color indexed="10"/>
        <rFont val="Arial"/>
        <family val="2"/>
      </rPr>
      <t>Z19S3</t>
    </r>
    <r>
      <rPr>
        <sz val="10"/>
        <rFont val="Arial"/>
        <family val="2"/>
      </rPr>
      <t xml:space="preserve"> eingegeben.</t>
    </r>
  </si>
  <si>
    <r>
      <t>Hinweis</t>
    </r>
    <r>
      <rPr>
        <i/>
        <sz val="10"/>
        <rFont val="Arial"/>
        <family val="2"/>
      </rPr>
      <t xml:space="preserve">: In Excel kann unter Extras &gt; Optionen auf der Karte </t>
    </r>
    <r>
      <rPr>
        <b/>
        <i/>
        <sz val="10"/>
        <rFont val="Arial"/>
        <family val="2"/>
      </rPr>
      <t>Allgemein</t>
    </r>
    <r>
      <rPr>
        <i/>
        <sz val="10"/>
        <rFont val="Arial"/>
        <family val="2"/>
      </rPr>
      <t xml:space="preserve"> die Bezugsart Z1S1 eingestellt werden.</t>
    </r>
  </si>
  <si>
    <r>
      <t xml:space="preserve">des Arbeitsblattes </t>
    </r>
    <r>
      <rPr>
        <b/>
        <sz val="10"/>
        <rFont val="Arial"/>
        <family val="2"/>
      </rPr>
      <t>Übersicht</t>
    </r>
    <r>
      <rPr>
        <sz val="10"/>
        <rFont val="Arial"/>
      </rPr>
      <t xml:space="preserve"> (Klassenlehrer; Archvierung) erfolgen.</t>
    </r>
  </si>
  <si>
    <r>
      <t>Tipp</t>
    </r>
    <r>
      <rPr>
        <sz val="10"/>
        <rFont val="Arial"/>
      </rPr>
      <t xml:space="preserve">: </t>
    </r>
    <r>
      <rPr>
        <i/>
        <sz val="10"/>
        <rFont val="Arial"/>
        <family val="2"/>
      </rPr>
      <t>Wenn die Fachlehrer den Klassen die Vornoten und Klausurnoten mitteilen, ist eine</t>
    </r>
  </si>
  <si>
    <r>
      <t xml:space="preserve">Abschließend sollte ein Ausdruck der </t>
    </r>
    <r>
      <rPr>
        <b/>
        <sz val="10"/>
        <rFont val="Arial"/>
        <family val="2"/>
      </rPr>
      <t>Fach-Arbeitsblätter</t>
    </r>
    <r>
      <rPr>
        <sz val="10"/>
        <rFont val="Arial"/>
      </rPr>
      <t xml:space="preserve"> (für Fachlehrer; zur Archivierung) sowie </t>
    </r>
  </si>
  <si>
    <t>j</t>
  </si>
  <si>
    <r>
      <t xml:space="preserve">die Entscheidung durch </t>
    </r>
    <r>
      <rPr>
        <b/>
        <sz val="10"/>
        <rFont val="Arial"/>
        <family val="2"/>
      </rPr>
      <t>j</t>
    </r>
    <r>
      <rPr>
        <sz val="10"/>
        <rFont val="Arial"/>
      </rPr>
      <t xml:space="preserve"> bzw. </t>
    </r>
    <r>
      <rPr>
        <b/>
        <sz val="10"/>
        <rFont val="Arial"/>
        <family val="2"/>
      </rPr>
      <t>n</t>
    </r>
    <r>
      <rPr>
        <sz val="10"/>
        <rFont val="Arial"/>
      </rPr>
      <t xml:space="preserve"> eingetragen (</t>
    </r>
    <r>
      <rPr>
        <sz val="10"/>
        <color indexed="15"/>
        <rFont val="Arial"/>
        <family val="2"/>
      </rPr>
      <t>farbig markierte Zellen</t>
    </r>
    <r>
      <rPr>
        <sz val="10"/>
        <rFont val="Arial"/>
      </rPr>
      <t>). .</t>
    </r>
  </si>
  <si>
    <r>
      <t xml:space="preserve">Daten werden </t>
    </r>
    <r>
      <rPr>
        <b/>
        <u/>
        <sz val="10"/>
        <rFont val="Arial"/>
        <family val="2"/>
      </rPr>
      <t>ausschließlich</t>
    </r>
    <r>
      <rPr>
        <sz val="10"/>
        <rFont val="Arial"/>
        <family val="2"/>
      </rPr>
      <t xml:space="preserve"> auf den Arbeitsblättern: Deutsch, Fremdsprache, Mathematik eingegeben.</t>
    </r>
  </si>
  <si>
    <r>
      <t xml:space="preserve">Das Arbeitsblatt </t>
    </r>
    <r>
      <rPr>
        <sz val="10"/>
        <color indexed="10"/>
        <rFont val="Arial"/>
        <family val="2"/>
      </rPr>
      <t>mdl Prf</t>
    </r>
    <r>
      <rPr>
        <sz val="10"/>
        <rFont val="Arial"/>
      </rPr>
      <t xml:space="preserve"> beantwortet die Frage: </t>
    </r>
    <r>
      <rPr>
        <i/>
        <sz val="10"/>
        <rFont val="Arial"/>
        <family val="2"/>
      </rPr>
      <t>Wie wirkt sich eine mündliche Prüfung auf die Abschlussnote aus?</t>
    </r>
  </si>
  <si>
    <t>n</t>
  </si>
  <si>
    <r>
      <t xml:space="preserve">Auf dem Arbeitsblatt </t>
    </r>
    <r>
      <rPr>
        <sz val="10"/>
        <color indexed="10"/>
        <rFont val="Arial"/>
        <family val="2"/>
      </rPr>
      <t>Muster</t>
    </r>
    <r>
      <rPr>
        <sz val="10"/>
        <rFont val="Arial"/>
      </rPr>
      <t xml:space="preserve"> befinden sich alle möglichen Vornoten- und Klausurnoten-Kombinationen und Beispiele</t>
    </r>
  </si>
  <si>
    <t>für nachfolgend mögliche (Fehl-) Eingaben.</t>
  </si>
  <si>
    <t>Prüfung(en)</t>
  </si>
  <si>
    <t xml:space="preserve">         Gegenkontrolle der verarbeiteten Daten durch die SchülerInnen möglich.</t>
  </si>
  <si>
    <r>
      <t xml:space="preserve">-  bei Abweichung von </t>
    </r>
    <r>
      <rPr>
        <b/>
        <sz val="10"/>
        <rFont val="Arial"/>
        <family val="2"/>
      </rPr>
      <t>einer Notenstufe</t>
    </r>
    <r>
      <rPr>
        <sz val="10"/>
        <rFont val="Arial"/>
      </rPr>
      <t xml:space="preserve"> zwischen Vor- und Klausurnote die in Absprache mit dem Zweitkorrektor</t>
    </r>
  </si>
  <si>
    <r>
      <t xml:space="preserve">In die Arbeitsblätter </t>
    </r>
    <r>
      <rPr>
        <sz val="10"/>
        <color indexed="10"/>
        <rFont val="Arial"/>
        <family val="2"/>
      </rPr>
      <t>Deutsch, Fremdsprache, Mathematik</t>
    </r>
    <r>
      <rPr>
        <sz val="10"/>
        <rFont val="Arial"/>
      </rPr>
      <t xml:space="preserve"> werden (</t>
    </r>
    <r>
      <rPr>
        <i/>
        <sz val="10"/>
        <rFont val="Arial"/>
        <family val="2"/>
      </rPr>
      <t>jeweils ab Zeile 19</t>
    </r>
    <r>
      <rPr>
        <sz val="10"/>
        <rFont val="Arial"/>
      </rPr>
      <t>)</t>
    </r>
  </si>
  <si>
    <r>
      <t xml:space="preserve">-  im Anschluss an die Zweitkorrektur die Klausurnoten in </t>
    </r>
    <r>
      <rPr>
        <b/>
        <sz val="10"/>
        <rFont val="Arial"/>
        <family val="2"/>
      </rPr>
      <t>Spalte 8</t>
    </r>
    <r>
      <rPr>
        <sz val="10"/>
        <rFont val="Arial"/>
      </rPr>
      <t xml:space="preserve"> (</t>
    </r>
    <r>
      <rPr>
        <b/>
        <sz val="10"/>
        <rFont val="Arial"/>
        <family val="2"/>
      </rPr>
      <t>nur ganze Zahlen</t>
    </r>
    <r>
      <rPr>
        <sz val="10"/>
        <rFont val="Arial"/>
      </rPr>
      <t>) eingegeben;</t>
    </r>
  </si>
  <si>
    <r>
      <t xml:space="preserve">-  die Vornoten in </t>
    </r>
    <r>
      <rPr>
        <b/>
        <sz val="10"/>
        <rFont val="Arial"/>
        <family val="2"/>
      </rPr>
      <t>Spalte 6</t>
    </r>
    <r>
      <rPr>
        <sz val="10"/>
        <rFont val="Arial"/>
      </rPr>
      <t xml:space="preserve"> (</t>
    </r>
    <r>
      <rPr>
        <b/>
        <sz val="10"/>
        <rFont val="Arial"/>
        <family val="2"/>
      </rPr>
      <t>nur ganze Zahlen</t>
    </r>
    <r>
      <rPr>
        <sz val="10"/>
        <rFont val="Arial"/>
      </rPr>
      <t>) eingetragen;</t>
    </r>
  </si>
  <si>
    <r>
      <t xml:space="preserve">Hiermit können SuS bei einer möglichen freiwilligen Prüfung im Hinblick auf eine </t>
    </r>
    <r>
      <rPr>
        <b/>
        <sz val="10"/>
        <rFont val="Arial"/>
        <family val="2"/>
      </rPr>
      <t>Meldung</t>
    </r>
    <r>
      <rPr>
        <sz val="10"/>
        <rFont val="Arial"/>
      </rPr>
      <t xml:space="preserve"> beraten werden.</t>
    </r>
  </si>
  <si>
    <r>
      <t xml:space="preserve">   festgesetzten Abschluss-/Zeugnisnoten in </t>
    </r>
    <r>
      <rPr>
        <b/>
        <sz val="10"/>
        <rFont val="Arial"/>
        <family val="2"/>
      </rPr>
      <t>Spalte 29</t>
    </r>
    <r>
      <rPr>
        <sz val="10"/>
        <rFont val="Arial"/>
      </rPr>
      <t xml:space="preserve"> (</t>
    </r>
    <r>
      <rPr>
        <sz val="10"/>
        <color indexed="51"/>
        <rFont val="Arial"/>
        <family val="2"/>
      </rPr>
      <t>farbig markierte Zellen</t>
    </r>
    <r>
      <rPr>
        <sz val="10"/>
        <rFont val="Arial"/>
      </rPr>
      <t>) eingetragen (</t>
    </r>
    <r>
      <rPr>
        <b/>
        <sz val="10"/>
        <rFont val="Arial"/>
        <family val="2"/>
      </rPr>
      <t>nur ganze Zahlen</t>
    </r>
    <r>
      <rPr>
        <sz val="10"/>
        <rFont val="Arial"/>
      </rPr>
      <t>).</t>
    </r>
  </si>
  <si>
    <r>
      <t xml:space="preserve">(z.B. aus einer mit Schild erstellten Excel-Tabelle kopiert!)  </t>
    </r>
    <r>
      <rPr>
        <b/>
        <sz val="10"/>
        <rFont val="Arial"/>
        <family val="2"/>
      </rPr>
      <t>Maximal 36 SuS möglich!</t>
    </r>
  </si>
  <si>
    <t>Tagesdatum</t>
  </si>
  <si>
    <t>Meldedatum abgelaufen?</t>
  </si>
  <si>
    <t>Meldedatum freiw. mdl. Prüfung (Eingabe auf Arbeitsblatt Mitteilungen Z2S1)</t>
  </si>
  <si>
    <t>Nach dem Eintrag der Zensuren der schriftlichen Prüfung müssen nur noch die farbigen Felder ab Spalte 14 ausgefüllt werden.</t>
  </si>
  <si>
    <t>Es müssen die Spalten 6 : Vornote und</t>
  </si>
  <si>
    <t xml:space="preserve">                                   8 : Zensur schriftliche Prüfung ausgefüllt werden.</t>
  </si>
  <si>
    <t>Erg. : Ergebnis mündliche Prüfung</t>
  </si>
  <si>
    <r>
      <t xml:space="preserve">Unter Extras &gt; Makro &gt; Sicherheit sollte die Sicherheitsstufe dazu auf </t>
    </r>
    <r>
      <rPr>
        <b/>
        <i/>
        <sz val="10"/>
        <rFont val="Arial"/>
        <family val="2"/>
      </rPr>
      <t>Mittel</t>
    </r>
    <r>
      <rPr>
        <i/>
        <sz val="10"/>
        <rFont val="Arial"/>
        <family val="2"/>
      </rPr>
      <t xml:space="preserve"> eingestellt werden.</t>
    </r>
  </si>
  <si>
    <t>2_1</t>
  </si>
  <si>
    <t>Version</t>
  </si>
  <si>
    <t>zum Download</t>
  </si>
  <si>
    <t>Änderungen/Ergänzungen</t>
  </si>
  <si>
    <t>Zähler- und Druck-Button, Eingaben nur noch auf  "Vorlagen"</t>
  </si>
  <si>
    <t>24.02.2007  10:35</t>
  </si>
  <si>
    <r>
      <t xml:space="preserve">Nach der Abgabefrist wird auf dem entsprechenden </t>
    </r>
    <r>
      <rPr>
        <b/>
        <sz val="10"/>
        <rFont val="Arial"/>
        <family val="2"/>
      </rPr>
      <t>Fach-Arbeitsblatt</t>
    </r>
    <r>
      <rPr>
        <sz val="10"/>
        <rFont val="Arial"/>
      </rPr>
      <t xml:space="preserve"> bei den betr. Schülern in der </t>
    </r>
    <r>
      <rPr>
        <b/>
        <sz val="10"/>
        <rFont val="Arial"/>
        <family val="2"/>
      </rPr>
      <t>Spalte 14</t>
    </r>
  </si>
  <si>
    <t>Datei-Datum</t>
  </si>
  <si>
    <t>Datei-Name</t>
  </si>
  <si>
    <r>
      <t>Vorgaben</t>
    </r>
    <r>
      <rPr>
        <sz val="10"/>
        <rFont val="Arial"/>
      </rPr>
      <t xml:space="preserve"> die Zellen Z1S1 bis Z7S3 (</t>
    </r>
    <r>
      <rPr>
        <sz val="10"/>
        <color indexed="51"/>
        <rFont val="Arial"/>
        <family val="2"/>
      </rPr>
      <t>farbig markierte Zellen</t>
    </r>
    <r>
      <rPr>
        <sz val="10"/>
        <rFont val="Arial"/>
      </rPr>
      <t xml:space="preserve">) für die eigene Schule angepasst. </t>
    </r>
  </si>
  <si>
    <t>26.02.2007  18:05</t>
  </si>
  <si>
    <t>erforderlich:</t>
  </si>
  <si>
    <t>2_2</t>
  </si>
  <si>
    <t>§ APO-S I eingefügt, Kenntnisnahme erforderlicher mdl. Prüfungen</t>
  </si>
  <si>
    <t>Bei Meldung zur freiwilligen mündlichen Prüfung:</t>
  </si>
  <si>
    <r>
      <t>Ergebnisse dieser mündlichen Prüfungen (</t>
    </r>
    <r>
      <rPr>
        <b/>
        <sz val="10"/>
        <rFont val="Arial"/>
        <family val="2"/>
      </rPr>
      <t>nur ganze Zahlen</t>
    </r>
    <r>
      <rPr>
        <sz val="10"/>
        <rFont val="Arial"/>
      </rPr>
      <t xml:space="preserve">) eingetragen </t>
    </r>
    <r>
      <rPr>
        <i/>
        <sz val="10"/>
        <rFont val="Arial"/>
        <family val="2"/>
      </rPr>
      <t>(</t>
    </r>
    <r>
      <rPr>
        <i/>
        <sz val="10"/>
        <color indexed="10"/>
        <rFont val="Arial"/>
        <family val="2"/>
      </rPr>
      <t>farbig markierte Zellen</t>
    </r>
    <r>
      <rPr>
        <i/>
        <sz val="10"/>
        <rFont val="Arial"/>
        <family val="2"/>
      </rPr>
      <t xml:space="preserve">). </t>
    </r>
  </si>
  <si>
    <r>
      <t xml:space="preserve">Nach Abschluss der mündlichen Prüfungen werden in der </t>
    </r>
    <r>
      <rPr>
        <b/>
        <sz val="10"/>
        <rFont val="Arial"/>
        <family val="2"/>
      </rPr>
      <t>Spalte 16</t>
    </r>
    <r>
      <rPr>
        <sz val="10"/>
        <rFont val="Arial"/>
      </rPr>
      <t xml:space="preserve"> des jeweiligen Fach-Arbeitsblattes die </t>
    </r>
  </si>
  <si>
    <t>(Wird von der Möglichkeit zur freiwilligen Prüfung kein Gebrauch gemacht, so wird die mittlere Note</t>
  </si>
  <si>
    <t>27.02.2007  17:03</t>
  </si>
  <si>
    <t>&lt;==   Rückgabedatum für Meldungen zur freiwilligen mündlichen Prüfung</t>
  </si>
  <si>
    <t>&lt;==   Name SchulleiterIn</t>
  </si>
  <si>
    <t>&lt;==   Schulort</t>
  </si>
  <si>
    <t>&lt;==   Schulname</t>
  </si>
  <si>
    <t>F</t>
  </si>
  <si>
    <t>L</t>
  </si>
  <si>
    <t>Klassenstärke:</t>
  </si>
  <si>
    <t>Englisch</t>
  </si>
  <si>
    <t>Französisch</t>
  </si>
  <si>
    <t>Latein</t>
  </si>
  <si>
    <t>Vor-</t>
  </si>
  <si>
    <t xml:space="preserve">note </t>
  </si>
  <si>
    <t xml:space="preserve">Vor- </t>
  </si>
  <si>
    <r>
      <t xml:space="preserve">&lt;==   Eingaben für Schuljahr und Zug </t>
    </r>
    <r>
      <rPr>
        <b/>
        <sz val="10"/>
        <color indexed="10"/>
        <rFont val="Arial"/>
        <family val="2"/>
      </rPr>
      <t>nur</t>
    </r>
    <r>
      <rPr>
        <sz val="10"/>
        <color indexed="10"/>
        <rFont val="Arial"/>
        <family val="2"/>
      </rPr>
      <t xml:space="preserve"> hier </t>
    </r>
    <r>
      <rPr>
        <sz val="10"/>
        <rFont val="Arial"/>
        <family val="2"/>
      </rPr>
      <t>!</t>
    </r>
  </si>
  <si>
    <t>Möglichkeit der Fremdsprachenwahl (außer E) der SuS (bei Beginn in Klasse 5) eingearbeitet</t>
  </si>
  <si>
    <t>Unterschriften PrüferIn, ZweitkorrektorIn</t>
  </si>
  <si>
    <r>
      <t xml:space="preserve">Eine mündliche Prüfung ist in einem Fach </t>
    </r>
    <r>
      <rPr>
        <b/>
        <i/>
        <sz val="10"/>
        <rFont val="Arial"/>
        <family val="2"/>
      </rPr>
      <t>erforderlich</t>
    </r>
    <r>
      <rPr>
        <i/>
        <sz val="10"/>
        <rFont val="Arial"/>
        <family val="2"/>
      </rPr>
      <t>, wenn das Ergebnis der schriftlichen Prüfung</t>
    </r>
  </si>
  <si>
    <r>
      <t xml:space="preserve">Eine </t>
    </r>
    <r>
      <rPr>
        <b/>
        <i/>
        <sz val="10"/>
        <rFont val="Arial"/>
        <family val="2"/>
      </rPr>
      <t>freiwillige mündliche Prüfung</t>
    </r>
    <r>
      <rPr>
        <i/>
        <sz val="10"/>
        <rFont val="Arial"/>
        <family val="2"/>
      </rPr>
      <t xml:space="preserve"> ist in einem Fach möglich, in dem das Ergebnis der schriftlichen</t>
    </r>
  </si>
  <si>
    <t>Achtung:</t>
  </si>
  <si>
    <t>Auf dieser Seite keine Daten eingeben oder Änderungen vornehmen!</t>
  </si>
  <si>
    <t>In der Spalte 5 wird die von Englisch abweichende Fremdsprache angezeigt.</t>
  </si>
  <si>
    <t>In der Spalte 15 wird die von Englisch abweichende Fremdsprache angezeigt.</t>
  </si>
  <si>
    <t>R</t>
  </si>
  <si>
    <t>Klau-</t>
  </si>
  <si>
    <t xml:space="preserve"> sur</t>
  </si>
  <si>
    <t xml:space="preserve"> Vor-</t>
  </si>
  <si>
    <t>(wird nur auf dem Arbeitsblatt "Vorgaben" in der Spalte 5 eingetragen)</t>
  </si>
  <si>
    <t>Frau</t>
  </si>
  <si>
    <t>der Spalte A-note (Abschlussnote) eintragen!</t>
  </si>
  <si>
    <t>Absprache FachlehrerIn - ZweitkorrektorIn bei Abweichung</t>
  </si>
  <si>
    <r>
      <t xml:space="preserve">um </t>
    </r>
    <r>
      <rPr>
        <b/>
        <sz val="10"/>
        <rFont val="Arial"/>
        <family val="2"/>
      </rPr>
      <t>eine Notenstufe</t>
    </r>
    <r>
      <rPr>
        <sz val="10"/>
        <rFont val="Arial"/>
      </rPr>
      <t xml:space="preserve"> zwischen Vor- und Klausurnote</t>
    </r>
  </si>
  <si>
    <r>
      <t>Ergebnis dieser Absprache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beim Papierausdruck</t>
    </r>
    <r>
      <rPr>
        <sz val="10"/>
        <rFont val="Arial"/>
        <family val="2"/>
      </rPr>
      <t xml:space="preserve"> in</t>
    </r>
  </si>
  <si>
    <r>
      <t xml:space="preserve">Die FachlehrerInnen können nun einen Papier-Ausdruck ihres Datenblattes zum Eintragen der </t>
    </r>
    <r>
      <rPr>
        <b/>
        <sz val="10"/>
        <rFont val="Arial"/>
        <family val="2"/>
      </rPr>
      <t>Vornoten, Klausurnoten</t>
    </r>
  </si>
  <si>
    <t>3_1</t>
  </si>
  <si>
    <r>
      <t xml:space="preserve">(in der Excel-Datei </t>
    </r>
    <r>
      <rPr>
        <b/>
        <sz val="10"/>
        <rFont val="Arial"/>
        <family val="2"/>
      </rPr>
      <t>nur in Spalte 29</t>
    </r>
    <r>
      <rPr>
        <sz val="10"/>
        <rFont val="Arial"/>
      </rPr>
      <t>!)</t>
    </r>
  </si>
  <si>
    <t>Text für Papierausdruck ergänzt</t>
  </si>
  <si>
    <r>
      <t>und der abzusprechenden Abschlussnoten (</t>
    </r>
    <r>
      <rPr>
        <b/>
        <sz val="10"/>
        <rFont val="Arial"/>
        <family val="2"/>
      </rPr>
      <t>bei Abweichung von einer Notenstufe</t>
    </r>
    <r>
      <rPr>
        <sz val="10"/>
        <rFont val="Arial"/>
        <family val="2"/>
      </rPr>
      <t>) erhalten.</t>
    </r>
  </si>
  <si>
    <t>3_2</t>
  </si>
  <si>
    <t>Textfehler korrigiert</t>
  </si>
  <si>
    <t>Lehrerkürzel:</t>
  </si>
  <si>
    <t>D</t>
  </si>
  <si>
    <t>M</t>
  </si>
  <si>
    <t>Lehrerkürzel</t>
  </si>
  <si>
    <r>
      <t xml:space="preserve">In den Zellen Z8/10S8 können die </t>
    </r>
    <r>
      <rPr>
        <b/>
        <sz val="10"/>
        <rFont val="Arial"/>
        <family val="2"/>
      </rPr>
      <t>Kürzel</t>
    </r>
    <r>
      <rPr>
        <sz val="10"/>
        <rFont val="Arial"/>
        <family val="2"/>
      </rPr>
      <t xml:space="preserve"> der in dieser Klasse unterrichtenden </t>
    </r>
    <r>
      <rPr>
        <b/>
        <sz val="10"/>
        <rFont val="Arial"/>
        <family val="2"/>
      </rPr>
      <t>FachlehrerInnen</t>
    </r>
    <r>
      <rPr>
        <sz val="10"/>
        <rFont val="Arial"/>
        <family val="2"/>
      </rPr>
      <t xml:space="preserve"> eingegeben werden.</t>
    </r>
  </si>
  <si>
    <t>ZP_10_Auswertungen_Vers_2</t>
  </si>
  <si>
    <t>ZP_10_Auswertungen_Vers_2_1</t>
  </si>
  <si>
    <t>ZP_10_Auswertungen_Vers_2_2</t>
  </si>
  <si>
    <t>ZP_10_Auswertungen_Vers_3</t>
  </si>
  <si>
    <t>ZP_10_Auswertungen_Vers_3_1</t>
  </si>
  <si>
    <t>ZP_10_Auswertungen_Vers_3_2</t>
  </si>
  <si>
    <t>Ein- und Ausgabe der Kürzel der FachlehrerInnen ermöglicht; Formatierung auf Blatt Übersicht in Z55S34 auf 1 Dezimale und linksbündig geändert</t>
  </si>
  <si>
    <t>Kopfzeile / Header</t>
  </si>
  <si>
    <t>3_3</t>
  </si>
  <si>
    <t xml:space="preserve">&lt;== Z5S2    Frau / Herr </t>
  </si>
  <si>
    <t>&lt;==   Eingabe SchILD-NRW-Fachkürzel für Englisch in dieser Klasse</t>
  </si>
  <si>
    <t>Fachkrz</t>
  </si>
  <si>
    <t>APO-S I: § 28 (2) Wird die zweite Fremdsprache</t>
  </si>
  <si>
    <t>tritt dieses Fach an die Stelle von Englisch,</t>
  </si>
  <si>
    <t xml:space="preserve">bereits ab Klasse 5 unterrichtet (§ 17 Abs. 1 Satz 2), </t>
  </si>
  <si>
    <r>
      <t xml:space="preserve">&lt;==  Rückantwort bei </t>
    </r>
    <r>
      <rPr>
        <b/>
        <u/>
        <sz val="10"/>
        <rFont val="Arial"/>
        <family val="2"/>
      </rPr>
      <t>allen</t>
    </r>
    <r>
      <rPr>
        <sz val="10"/>
        <rFont val="Arial"/>
      </rPr>
      <t xml:space="preserve"> SuS aktivieren ( j / n )</t>
    </r>
  </si>
  <si>
    <r>
      <t xml:space="preserve">SchILD-Export, Rückantwort an </t>
    </r>
    <r>
      <rPr>
        <b/>
        <sz val="10"/>
        <rFont val="Arial"/>
        <family val="2"/>
      </rPr>
      <t>alle</t>
    </r>
    <r>
      <rPr>
        <sz val="10"/>
        <rFont val="Arial"/>
      </rPr>
      <t xml:space="preserve"> SuS auswählbar</t>
    </r>
  </si>
  <si>
    <t>Geburtsdatum</t>
  </si>
  <si>
    <t>GD 8</t>
  </si>
  <si>
    <t>GD 9</t>
  </si>
  <si>
    <t>GD 10</t>
  </si>
  <si>
    <t>GD 11</t>
  </si>
  <si>
    <t>GD 12</t>
  </si>
  <si>
    <t>GD 13</t>
  </si>
  <si>
    <t>GD 14</t>
  </si>
  <si>
    <t>GD 15</t>
  </si>
  <si>
    <t>GD 16</t>
  </si>
  <si>
    <t>GD 17</t>
  </si>
  <si>
    <t>GD 18</t>
  </si>
  <si>
    <t>GD 19</t>
  </si>
  <si>
    <t>GD 20</t>
  </si>
  <si>
    <t>GD 21</t>
  </si>
  <si>
    <t>GD 22</t>
  </si>
  <si>
    <t>GD 23</t>
  </si>
  <si>
    <t>GD 24</t>
  </si>
  <si>
    <t>GD 25</t>
  </si>
  <si>
    <t>GD 26</t>
  </si>
  <si>
    <t>GD 27</t>
  </si>
  <si>
    <t>GD 28</t>
  </si>
  <si>
    <t>GD 29</t>
  </si>
  <si>
    <t>GD 30</t>
  </si>
  <si>
    <t>GD 31</t>
  </si>
  <si>
    <t>GD 32</t>
  </si>
  <si>
    <t>GD 33</t>
  </si>
  <si>
    <t>GD 34</t>
  </si>
  <si>
    <t>GD 35</t>
  </si>
  <si>
    <t>GD 36</t>
  </si>
  <si>
    <t>N D</t>
  </si>
  <si>
    <t>N E</t>
  </si>
  <si>
    <t>N M</t>
  </si>
  <si>
    <t>N F</t>
  </si>
  <si>
    <t>N L</t>
  </si>
  <si>
    <t xml:space="preserve"> abweichender Fremdspr.-Prf. in dieser Klasse</t>
  </si>
  <si>
    <t>Fach-</t>
  </si>
  <si>
    <t>;</t>
  </si>
  <si>
    <t>E5</t>
  </si>
  <si>
    <t>Vorbereitung einer Text-Datei zum Noten-Ex- und -Import nach SchILD-NRW</t>
  </si>
  <si>
    <r>
      <t>Zensuren-Export nach SchILD:</t>
    </r>
    <r>
      <rPr>
        <sz val="10"/>
        <rFont val="Arial"/>
      </rPr>
      <t xml:space="preserve">  Einzelheiten s. Arbeitsblatt </t>
    </r>
    <r>
      <rPr>
        <b/>
        <sz val="10"/>
        <rFont val="Arial"/>
        <family val="2"/>
      </rPr>
      <t>SchILD-Export</t>
    </r>
  </si>
  <si>
    <t>ZP_10_Auswertungen_Vers_3_3</t>
  </si>
  <si>
    <t>ZP_10_Auswertungen_Vers_4</t>
  </si>
  <si>
    <r>
      <t xml:space="preserve">Auf diesem Arbeitsblatt werden Name, Vorname, Geburtsdatum für </t>
    </r>
    <r>
      <rPr>
        <b/>
        <sz val="10"/>
        <color indexed="10"/>
        <rFont val="Arial"/>
        <family val="2"/>
      </rPr>
      <t>eine</t>
    </r>
    <r>
      <rPr>
        <sz val="10"/>
        <rFont val="Arial"/>
        <family val="2"/>
      </rPr>
      <t xml:space="preserve"> Klasse ab Zelle </t>
    </r>
    <r>
      <rPr>
        <b/>
        <sz val="10"/>
        <color indexed="10"/>
        <rFont val="Arial"/>
        <family val="2"/>
      </rPr>
      <t>Z19S3</t>
    </r>
    <r>
      <rPr>
        <sz val="10"/>
        <rFont val="Arial"/>
        <family val="2"/>
      </rPr>
      <t xml:space="preserve"> eingegeben.</t>
    </r>
  </si>
  <si>
    <t>4_1</t>
  </si>
  <si>
    <t>SchILD-Export: Daten ohne Anführungszeichen</t>
  </si>
  <si>
    <t>Name;Vorname;Geb-Datum;Fach;Abschlussnote;Vornote;Note schr. Prüfung;Note mündl. Prüfung</t>
  </si>
  <si>
    <t>4_2</t>
  </si>
  <si>
    <t>SchILD-Export: erweiterter Datensatz (Vor-,Klausur-,mdl.Prüfungsnote)</t>
  </si>
  <si>
    <t>4_3</t>
  </si>
  <si>
    <t>eintragen (nach Spalte 6 und 8)</t>
  </si>
  <si>
    <t>Bei Abweichung von einer Notenstufe ist das Ergebnis der Absprache nur in Spalte 29 einzutragen.</t>
  </si>
  <si>
    <r>
      <t xml:space="preserve">Spalte 14 erst </t>
    </r>
    <r>
      <rPr>
        <b/>
        <sz val="10"/>
        <rFont val="Arial"/>
        <family val="2"/>
      </rPr>
      <t>nach Ausdruck der Mitteilungen</t>
    </r>
    <r>
      <rPr>
        <sz val="10"/>
        <rFont val="Arial"/>
      </rPr>
      <t xml:space="preserve"> füllen!</t>
    </r>
  </si>
  <si>
    <t xml:space="preserve">   j / n</t>
  </si>
  <si>
    <t>frw. ?</t>
  </si>
  <si>
    <t>frw. ? : freiwillige mündliche Prüfung möglich</t>
  </si>
  <si>
    <t>x        : angesetzte mündliche Prüfung</t>
  </si>
  <si>
    <t>Rückantwort notwendig wegen</t>
  </si>
  <si>
    <t>freiwilliger und/oder angesetzter mündlicher Prüfung(en)</t>
  </si>
  <si>
    <r>
      <t xml:space="preserve">A-note: Abschlussnote (gleich </t>
    </r>
    <r>
      <rPr>
        <b/>
        <i/>
        <sz val="10"/>
        <rFont val="Arial"/>
        <family val="2"/>
      </rPr>
      <t>Zeugnisnote</t>
    </r>
    <r>
      <rPr>
        <b/>
        <sz val="10"/>
        <rFont val="Arial"/>
        <family val="2"/>
      </rPr>
      <t>)</t>
    </r>
  </si>
  <si>
    <t>Seiten insgesamt</t>
  </si>
  <si>
    <t>&lt;==   Ausgabe-/Druckdatum für Mitteilungen an SuS</t>
  </si>
  <si>
    <t>Auf dieser Seite - außer dem laufenden Zähler in Zelle Z3S1 und der Eingabe</t>
  </si>
  <si>
    <t xml:space="preserve"> j / n in Zelle Z4S1 - keine Daten eingeben oder Änderungen vornehmen!</t>
  </si>
  <si>
    <t>ZP_10_Auswertungen_Vers_4_3</t>
  </si>
  <si>
    <t>ZP_10_Auswertungen_Vers_4_1</t>
  </si>
  <si>
    <t>ZP_10_Auswertungen_Vers_4_2</t>
  </si>
  <si>
    <r>
      <t xml:space="preserve">auf diesem Mitteilungsblatt ein Abschnitt </t>
    </r>
    <r>
      <rPr>
        <b/>
        <i/>
        <sz val="10"/>
        <rFont val="Arial"/>
        <family val="2"/>
      </rPr>
      <t xml:space="preserve">Rückantwort zur mündlichen Prüfung </t>
    </r>
    <r>
      <rPr>
        <sz val="10"/>
        <rFont val="Arial"/>
        <family val="2"/>
      </rPr>
      <t>mit ausgedruckt.</t>
    </r>
  </si>
  <si>
    <r>
      <t xml:space="preserve">Durch Eingabe von j / n in Zelle Z4S1 wird für </t>
    </r>
    <r>
      <rPr>
        <sz val="10"/>
        <color indexed="10"/>
        <rFont val="Arial"/>
        <family val="2"/>
      </rPr>
      <t>alle</t>
    </r>
    <r>
      <rPr>
        <sz val="10"/>
        <rFont val="Arial"/>
        <family val="2"/>
      </rPr>
      <t xml:space="preserve"> SuS oder </t>
    </r>
    <r>
      <rPr>
        <sz val="10"/>
        <color indexed="10"/>
        <rFont val="Arial"/>
        <family val="2"/>
      </rPr>
      <t>nur</t>
    </r>
    <r>
      <rPr>
        <sz val="10"/>
        <rFont val="Arial"/>
      </rPr>
      <t xml:space="preserve"> bei möglichen freiwilligen bzw. angesetzen mdl. Prf.</t>
    </r>
  </si>
  <si>
    <t>5_0</t>
  </si>
  <si>
    <r>
      <t xml:space="preserve">Blatt </t>
    </r>
    <r>
      <rPr>
        <b/>
        <i/>
        <sz val="10"/>
        <rFont val="Arial"/>
        <family val="2"/>
      </rPr>
      <t>Mitteilungen</t>
    </r>
    <r>
      <rPr>
        <sz val="10"/>
        <rFont val="Arial"/>
      </rPr>
      <t xml:space="preserve">: "Eltern" durch "Erziehungsberechtigte" ersetzt; weitere </t>
    </r>
    <r>
      <rPr>
        <b/>
        <sz val="10"/>
        <rFont val="Arial"/>
        <family val="2"/>
      </rPr>
      <t>bedingte Formatierung</t>
    </r>
    <r>
      <rPr>
        <sz val="10"/>
        <rFont val="Arial"/>
      </rPr>
      <t xml:space="preserve"> in den Spalten 29 bei Arbeitsblättern für D,FS,M; Blatt </t>
    </r>
    <r>
      <rPr>
        <b/>
        <i/>
        <sz val="10"/>
        <rFont val="Arial"/>
        <family val="2"/>
      </rPr>
      <t>Übersicht</t>
    </r>
    <r>
      <rPr>
        <sz val="10"/>
        <rFont val="Arial"/>
      </rPr>
      <t xml:space="preserve"> redaktionell ergänzt (frw. ?)</t>
    </r>
  </si>
  <si>
    <r>
      <t xml:space="preserve">2-Tastenkombination [ </t>
    </r>
    <r>
      <rPr>
        <b/>
        <i/>
        <sz val="12"/>
        <rFont val="Arial"/>
        <family val="2"/>
      </rPr>
      <t xml:space="preserve">Strg + s </t>
    </r>
    <r>
      <rPr>
        <b/>
        <sz val="12"/>
        <rFont val="Arial"/>
        <family val="2"/>
      </rPr>
      <t>] erfolgen!</t>
    </r>
  </si>
  <si>
    <t>GD 1</t>
  </si>
  <si>
    <t>GD 2</t>
  </si>
  <si>
    <t>GD 3</t>
  </si>
  <si>
    <t>GD 4</t>
  </si>
  <si>
    <t>GD 5</t>
  </si>
  <si>
    <t>GD 6</t>
  </si>
  <si>
    <t>GD 7</t>
  </si>
  <si>
    <r>
      <t xml:space="preserve">Blatt </t>
    </r>
    <r>
      <rPr>
        <b/>
        <i/>
        <sz val="10"/>
        <rFont val="Arial"/>
        <family val="2"/>
      </rPr>
      <t xml:space="preserve">Mitteilungen </t>
    </r>
    <r>
      <rPr>
        <sz val="10"/>
        <rFont val="Arial"/>
      </rPr>
      <t xml:space="preserve">kann durch die 2-Tastenkombination [ </t>
    </r>
    <r>
      <rPr>
        <b/>
        <i/>
        <sz val="10"/>
        <rFont val="Arial"/>
        <family val="2"/>
      </rPr>
      <t>Strg + s</t>
    </r>
    <r>
      <rPr>
        <sz val="10"/>
        <rFont val="Arial"/>
      </rPr>
      <t xml:space="preserve"> ] für </t>
    </r>
    <r>
      <rPr>
        <b/>
        <sz val="10"/>
        <rFont val="Arial"/>
        <family val="2"/>
      </rPr>
      <t>alle</t>
    </r>
    <r>
      <rPr>
        <sz val="10"/>
        <rFont val="Arial"/>
      </rPr>
      <t xml:space="preserve"> SuS einer Klasse ausgedruckt werden </t>
    </r>
  </si>
  <si>
    <t>&lt;==  Zahl für den Einzeldruck dieser Seite für die lfd. Nummer ... (lt. Arbeitsblatt "Übersicht") eingeben</t>
  </si>
  <si>
    <r>
      <t xml:space="preserve">Bei Fremdsprachenprüfung in Französisch oder Latein wird bei diesen SuS jeweils ein F oder L in </t>
    </r>
    <r>
      <rPr>
        <b/>
        <sz val="10"/>
        <rFont val="Arial"/>
        <family val="2"/>
      </rPr>
      <t>Spalte 5</t>
    </r>
    <r>
      <rPr>
        <sz val="10"/>
        <rFont val="Arial"/>
        <family val="2"/>
      </rPr>
      <t xml:space="preserve"> eingegeben!</t>
    </r>
  </si>
  <si>
    <r>
      <t xml:space="preserve">Durch die 2-Tastenkombination </t>
    </r>
    <r>
      <rPr>
        <b/>
        <i/>
        <sz val="10"/>
        <color indexed="10"/>
        <rFont val="Arial"/>
        <family val="2"/>
      </rPr>
      <t>Strg + s</t>
    </r>
    <r>
      <rPr>
        <b/>
        <sz val="10"/>
        <rFont val="Arial"/>
        <family val="2"/>
      </rPr>
      <t xml:space="preserve"> werden die Mitteilungen für alle SuS der Klasse ausgedruckt.</t>
    </r>
  </si>
  <si>
    <r>
      <t xml:space="preserve">Über die Zelle Z3S1 kann für </t>
    </r>
    <r>
      <rPr>
        <b/>
        <sz val="10"/>
        <rFont val="Arial"/>
        <family val="2"/>
      </rPr>
      <t>einzelne SuS</t>
    </r>
    <r>
      <rPr>
        <sz val="10"/>
        <rFont val="Arial"/>
      </rPr>
      <t xml:space="preserve"> die Auswahl für einen Einzel-Ausdruck (Nachdruck) erfolgen.</t>
    </r>
  </si>
  <si>
    <r>
      <t xml:space="preserve">Für das Arbeitsblatt </t>
    </r>
    <r>
      <rPr>
        <sz val="10"/>
        <color indexed="10"/>
        <rFont val="Arial"/>
        <family val="2"/>
      </rPr>
      <t>Mitteilungen</t>
    </r>
    <r>
      <rPr>
        <sz val="10"/>
        <rFont val="Arial"/>
      </rPr>
      <t xml:space="preserve"> gilt:</t>
    </r>
  </si>
  <si>
    <t xml:space="preserve"> - Vornote und schriftliche Prüfungsnote im Fach übereinstimmen;</t>
  </si>
  <si>
    <t>Die Abschluss-/Zeugnisnote im jeweiligen Fach wird ausgedruckt, wenn:</t>
  </si>
  <si>
    <r>
      <t xml:space="preserve">Das Arbeitsblatt </t>
    </r>
    <r>
      <rPr>
        <sz val="10"/>
        <color indexed="10"/>
        <rFont val="Arial"/>
        <family val="2"/>
      </rPr>
      <t>Übersicht</t>
    </r>
    <r>
      <rPr>
        <sz val="10"/>
        <rFont val="Arial"/>
      </rPr>
      <t xml:space="preserve"> dient zum Ausdruck für Klassenleitung und MittelstufenkoordinatorIn zu zwei Zeitpunkten:</t>
    </r>
  </si>
  <si>
    <t>1. Termin der Bekanntgabe der Vornoten / schriftlichen Prüfungsnoten; 2. nach erfolgten mündlichen Prüfungen.</t>
  </si>
  <si>
    <r>
      <t xml:space="preserve"> - Vornote und schriftliche Prüfungsnote im Fach sich um </t>
    </r>
    <r>
      <rPr>
        <b/>
        <sz val="10"/>
        <rFont val="Arial"/>
        <family val="2"/>
      </rPr>
      <t>eine Note</t>
    </r>
    <r>
      <rPr>
        <sz val="10"/>
        <rFont val="Arial"/>
        <family val="2"/>
      </rPr>
      <t xml:space="preserve"> unterscheiden </t>
    </r>
    <r>
      <rPr>
        <b/>
        <sz val="10"/>
        <rFont val="Arial"/>
        <family val="2"/>
      </rPr>
      <t>und</t>
    </r>
    <r>
      <rPr>
        <sz val="10"/>
        <rFont val="Arial"/>
        <family val="2"/>
      </rPr>
      <t xml:space="preserve"> das Ergebnis der notwendigen</t>
    </r>
  </si>
  <si>
    <t xml:space="preserve">   Absprache zwischen FachlehrerIn/ZweitkorrektorIn in Spalte 29 des jeweiligen Facharbeitsblattes eingetragen ist.</t>
  </si>
  <si>
    <t>Nach meinen Erfahrungen muss beim Import in Schild keine Klasse oder Jahrgang ausgewählt sein.</t>
  </si>
  <si>
    <r>
      <t xml:space="preserve">Textdatei kopieren ( z.B. mit </t>
    </r>
    <r>
      <rPr>
        <b/>
        <i/>
        <sz val="10"/>
        <rFont val="Arial"/>
        <family val="2"/>
      </rPr>
      <t>Editor</t>
    </r>
    <r>
      <rPr>
        <sz val="10"/>
        <rFont val="Arial"/>
      </rPr>
      <t xml:space="preserve"> aus </t>
    </r>
    <r>
      <rPr>
        <i/>
        <sz val="10"/>
        <rFont val="Arial"/>
        <family val="2"/>
      </rPr>
      <t>Windows &gt; Start &gt; Programme &gt; Zubehör</t>
    </r>
    <r>
      <rPr>
        <sz val="10"/>
        <rFont val="Arial"/>
        <family val="2"/>
      </rPr>
      <t xml:space="preserve"> zu erzeugen) :</t>
    </r>
  </si>
  <si>
    <r>
      <t>Bearbeiten kopieren / Strg + C</t>
    </r>
    <r>
      <rPr>
        <sz val="10"/>
        <rFont val="Arial"/>
      </rPr>
      <t xml:space="preserve"> &gt; Wechsel in die Editor-Datei &gt; </t>
    </r>
    <r>
      <rPr>
        <b/>
        <sz val="10"/>
        <rFont val="Arial"/>
        <family val="2"/>
      </rPr>
      <t>Bearbeiten einfügen / Strg + V</t>
    </r>
    <r>
      <rPr>
        <sz val="10"/>
        <rFont val="Arial"/>
      </rPr>
      <t>).</t>
    </r>
  </si>
  <si>
    <t>Voreinstellung Jg 10 kann aber auch nicht schädlich sein.</t>
  </si>
  <si>
    <r>
      <t xml:space="preserve">und </t>
    </r>
    <r>
      <rPr>
        <b/>
        <i/>
        <sz val="10"/>
        <rFont val="Arial"/>
        <family val="2"/>
      </rPr>
      <t>ausschließlich</t>
    </r>
    <r>
      <rPr>
        <sz val="10"/>
        <rFont val="Arial"/>
      </rPr>
      <t xml:space="preserve"> über den SchILD-Menuepunkt </t>
    </r>
    <r>
      <rPr>
        <b/>
        <sz val="10"/>
        <rFont val="Arial"/>
        <family val="2"/>
      </rPr>
      <t xml:space="preserve">Datenaustausch &gt; </t>
    </r>
    <r>
      <rPr>
        <b/>
        <i/>
        <sz val="10"/>
        <rFont val="Arial"/>
        <family val="2"/>
      </rPr>
      <t>Import ZP 10</t>
    </r>
    <r>
      <rPr>
        <sz val="10"/>
        <rFont val="Arial"/>
      </rPr>
      <t xml:space="preserve"> nach SchILD-NRW importieren.</t>
    </r>
  </si>
  <si>
    <t>Pro Zeile darf immer nur ein Datensatz vorhanden sein (Header in der ersten Zeile notwendig!)</t>
  </si>
  <si>
    <r>
      <t xml:space="preserve">Die Benutzung des Menuepunktes </t>
    </r>
    <r>
      <rPr>
        <i/>
        <sz val="10"/>
        <rFont val="Arial"/>
        <family val="2"/>
      </rPr>
      <t>Leistungsdaten holen</t>
    </r>
    <r>
      <rPr>
        <sz val="10"/>
        <rFont val="Arial"/>
      </rPr>
      <t xml:space="preserve"> auf der SchILD-Karte </t>
    </r>
    <r>
      <rPr>
        <i/>
        <sz val="10"/>
        <rFont val="Arial"/>
        <family val="2"/>
      </rPr>
      <t>ZP 10</t>
    </r>
    <r>
      <rPr>
        <sz val="10"/>
        <rFont val="Arial"/>
      </rPr>
      <t xml:space="preserve"> ist absolut überflüssig.</t>
    </r>
  </si>
  <si>
    <r>
      <t xml:space="preserve">Sinn macht es, vor dem Import über den Gruppenprozess </t>
    </r>
    <r>
      <rPr>
        <b/>
        <i/>
        <sz val="10"/>
        <rFont val="Arial"/>
        <family val="2"/>
      </rPr>
      <t>Details zu Fächern bei Schülern ändern</t>
    </r>
    <r>
      <rPr>
        <sz val="10"/>
        <rFont val="Arial"/>
      </rPr>
      <t xml:space="preserve"> bei den drei Prüfungs-</t>
    </r>
  </si>
  <si>
    <r>
      <t xml:space="preserve">fächern über </t>
    </r>
    <r>
      <rPr>
        <b/>
        <i/>
        <sz val="10"/>
        <rFont val="Arial"/>
        <family val="2"/>
      </rPr>
      <t>Fach für ZP 10: Ja</t>
    </r>
    <r>
      <rPr>
        <sz val="10"/>
        <rFont val="Arial"/>
      </rPr>
      <t xml:space="preserve"> und </t>
    </r>
    <r>
      <rPr>
        <b/>
        <i/>
        <sz val="10"/>
        <rFont val="Arial"/>
        <family val="2"/>
      </rPr>
      <t>Änderung durchführen</t>
    </r>
    <r>
      <rPr>
        <sz val="10"/>
        <rFont val="Arial"/>
      </rPr>
      <t xml:space="preserve"> die Haken auf der SchILD-Karte </t>
    </r>
    <r>
      <rPr>
        <i/>
        <sz val="10"/>
        <rFont val="Arial"/>
        <family val="2"/>
      </rPr>
      <t>Akt. Halbjahr</t>
    </r>
    <r>
      <rPr>
        <sz val="10"/>
        <rFont val="Arial"/>
      </rPr>
      <t xml:space="preserve"> zu setzen.</t>
    </r>
  </si>
  <si>
    <t>(Anm.: diese txt- Datei kann die Daten des gesamten Jahrgangs 10 enthalten; dazu muss für die Daten weiterer Klassen</t>
  </si>
  <si>
    <t xml:space="preserve">           der Cursur vor dem Einfügen (s.o.) an den Anfang der ersten freien Zeile dieser txt-Datei gesetzt werden.)</t>
  </si>
  <si>
    <t>Aus SchILD-NRW werden (Klasse,) Name, Vorname, Geburtsdatum der 10er SuS in eine Excel-Datei exportiert.</t>
  </si>
  <si>
    <t>ZP_10_Auswertungen_Vers_5_0</t>
  </si>
  <si>
    <t>5_1</t>
  </si>
  <si>
    <t>ZP_10_Auswertungen_Vers_5_1</t>
  </si>
  <si>
    <r>
      <t xml:space="preserve">Blatt </t>
    </r>
    <r>
      <rPr>
        <b/>
        <i/>
        <sz val="10"/>
        <rFont val="Arial"/>
        <family val="2"/>
      </rPr>
      <t xml:space="preserve">Mitteilungen: </t>
    </r>
    <r>
      <rPr>
        <i/>
        <sz val="10"/>
        <rFont val="Arial"/>
        <family val="2"/>
      </rPr>
      <t>lfd. Nr. für Rückantwort eingefügt</t>
    </r>
  </si>
  <si>
    <t>5_2</t>
  </si>
  <si>
    <t>ZP_10_Auswertungen_Vers_5_2</t>
  </si>
  <si>
    <r>
      <t xml:space="preserve">Im gesamten ZP10-Verfahren gibt es nur Zensuren </t>
    </r>
    <r>
      <rPr>
        <b/>
        <sz val="11"/>
        <color indexed="10"/>
        <rFont val="Arial"/>
        <family val="2"/>
      </rPr>
      <t>ohne Tendenzen</t>
    </r>
    <r>
      <rPr>
        <b/>
        <sz val="11"/>
        <rFont val="Arial"/>
        <family val="2"/>
      </rPr>
      <t>!</t>
    </r>
  </si>
  <si>
    <r>
      <t xml:space="preserve">Blatt </t>
    </r>
    <r>
      <rPr>
        <b/>
        <i/>
        <sz val="10"/>
        <rFont val="Arial"/>
        <family val="2"/>
      </rPr>
      <t>Schild-Export: Noten-Tendenzen</t>
    </r>
    <r>
      <rPr>
        <i/>
        <sz val="10"/>
        <rFont val="Arial"/>
        <family val="2"/>
      </rPr>
      <t xml:space="preserve"> bei den </t>
    </r>
    <r>
      <rPr>
        <b/>
        <i/>
        <sz val="10"/>
        <rFont val="Arial"/>
        <family val="2"/>
      </rPr>
      <t>Z</t>
    </r>
    <r>
      <rPr>
        <i/>
        <sz val="10"/>
        <rFont val="Arial"/>
        <family val="2"/>
      </rPr>
      <t xml:space="preserve">ensuren auf den Fach-Arbeitsblättern werden nicht mehr übernommen, wichtige Zellen mit Formeln für die </t>
    </r>
    <r>
      <rPr>
        <b/>
        <i/>
        <sz val="10"/>
        <rFont val="Arial"/>
        <family val="2"/>
      </rPr>
      <t xml:space="preserve">Eingabe gesperrt, </t>
    </r>
    <r>
      <rPr>
        <sz val="10"/>
        <rFont val="Arial"/>
        <family val="2"/>
      </rPr>
      <t xml:space="preserve">redaktionelle Ergänzungen auf dem </t>
    </r>
    <r>
      <rPr>
        <b/>
        <i/>
        <sz val="10"/>
        <rFont val="Arial"/>
        <family val="2"/>
      </rPr>
      <t>Blatt Mitteilungen</t>
    </r>
  </si>
  <si>
    <r>
      <t xml:space="preserve">Prüfung um </t>
    </r>
    <r>
      <rPr>
        <b/>
        <i/>
        <sz val="10"/>
        <rFont val="Arial"/>
        <family val="2"/>
      </rPr>
      <t>zwei Noten</t>
    </r>
    <r>
      <rPr>
        <i/>
        <sz val="10"/>
        <rFont val="Arial"/>
        <family val="2"/>
      </rPr>
      <t xml:space="preserve"> von der Vornote abweicht. (§ 34 Abs. 2 APO-S I)</t>
    </r>
  </si>
  <si>
    <t>aus Vornote und schriftlicher Prüfungsnote als Zeugnisnote festgesetzt. (§ 32 Abs. 3 APO-S I))</t>
  </si>
  <si>
    <r>
      <t xml:space="preserve">um </t>
    </r>
    <r>
      <rPr>
        <b/>
        <i/>
        <sz val="10"/>
        <rFont val="Arial"/>
        <family val="2"/>
      </rPr>
      <t>mehr als zwei Noten</t>
    </r>
    <r>
      <rPr>
        <i/>
        <sz val="10"/>
        <rFont val="Arial"/>
        <family val="2"/>
      </rPr>
      <t xml:space="preserve"> von der Vornote abweicht. (§ 34 Abs. 3 APO-S I)</t>
    </r>
  </si>
  <si>
    <t xml:space="preserve"> wenn die Schülerin oder der Schüler es wünscht.</t>
  </si>
  <si>
    <t>6_0</t>
  </si>
  <si>
    <t>ZP_10_Auswertungen_Vers_6_0</t>
  </si>
  <si>
    <r>
      <t xml:space="preserve"> hier nur Eingabe F oder L</t>
    </r>
    <r>
      <rPr>
        <b/>
        <strike/>
        <sz val="10"/>
        <rFont val="Arial"/>
        <family val="2"/>
      </rPr>
      <t xml:space="preserve"> bei SuS mit von E </t>
    </r>
  </si>
  <si>
    <t>FachlehrerIn legt obige Mittelwertnote als Abschlussnote fest  (§ 32 Abs. 3 APO-S I)</t>
  </si>
  <si>
    <t>FachlehrerIn setzt in Abstimmung mit ZweitkorrektorIn die Abschlussnote fest  (§ 34 Abs. 1 APO-S I; § 33 Abs. 3 Satz 3 und 4 gilt entsprechend)</t>
  </si>
  <si>
    <t>Abschlussnote bei mdl. Prüfung  (§ 32 Abs. 3 APO-S I):</t>
  </si>
  <si>
    <t xml:space="preserve">bis einschließlich 1. Dezimalstelle 5 ist die bessere Zensur, </t>
  </si>
  <si>
    <t>ansonsten die schlechtere Zensur festzusetzen</t>
  </si>
  <si>
    <t>ursprünglich</t>
  </si>
  <si>
    <t>Änderungen der Nummerierung der Paragraphen gemäß APO-S I  (Stand: 21. März 2017)</t>
  </si>
  <si>
    <r>
      <t xml:space="preserve">Änderung § 32 ff (statt § 30 ff) APO-SI; Löschung des Inhalts der Zellen Z34S2:Z36S8 </t>
    </r>
    <r>
      <rPr>
        <sz val="8"/>
        <color indexed="8"/>
        <rFont val="Verdana"/>
        <family val="2"/>
      </rPr>
      <t xml:space="preserve">(bereits feststehende Abschlussnote) auf dem Arbeitsblatt </t>
    </r>
    <r>
      <rPr>
        <b/>
        <sz val="8"/>
        <color indexed="8"/>
        <rFont val="Verdana"/>
        <family val="2"/>
      </rPr>
      <t>Mitteilungen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</si>
</sst>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d\.mm\.yy"/>
    <numFmt numFmtId="166" formatCode="0&quot;DM&quot;;\ \-0&quot;DM&quot;"/>
  </numFmts>
  <fonts count="43" x14ac:knownFonts="1">
    <font>
      <sz val="10"/>
      <name val="Arial"/>
    </font>
    <font>
      <sz val="10"/>
      <name val="Arial"/>
    </font>
    <font>
      <sz val="8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</font>
    <font>
      <sz val="9"/>
      <name val="Arial"/>
      <family val="2"/>
    </font>
    <font>
      <b/>
      <sz val="9"/>
      <name val="Arial"/>
    </font>
    <font>
      <sz val="8"/>
      <name val="Arial"/>
      <family val="2"/>
    </font>
    <font>
      <sz val="20"/>
      <name val="Arial"/>
      <family val="2"/>
    </font>
    <font>
      <sz val="10"/>
      <name val="MS Sans Serif"/>
    </font>
    <font>
      <b/>
      <sz val="8"/>
      <name val="Arial"/>
      <family val="2"/>
    </font>
    <font>
      <b/>
      <sz val="10"/>
      <name val="Arial"/>
    </font>
    <font>
      <sz val="9"/>
      <name val="MS Sans Serif"/>
    </font>
    <font>
      <b/>
      <i/>
      <sz val="9"/>
      <name val="Arial"/>
    </font>
    <font>
      <b/>
      <sz val="12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0"/>
      <name val="MS Sans Serif"/>
      <family val="2"/>
    </font>
    <font>
      <i/>
      <sz val="10"/>
      <name val="Arial"/>
      <family val="2"/>
    </font>
    <font>
      <b/>
      <sz val="10"/>
      <color indexed="9"/>
      <name val="Arial"/>
      <family val="2"/>
    </font>
    <font>
      <b/>
      <sz val="10"/>
      <color indexed="10"/>
      <name val="Arial"/>
      <family val="2"/>
    </font>
    <font>
      <b/>
      <u val="double"/>
      <sz val="10"/>
      <name val="Arial"/>
      <family val="2"/>
    </font>
    <font>
      <b/>
      <u/>
      <sz val="10"/>
      <name val="Arial"/>
      <family val="2"/>
    </font>
    <font>
      <b/>
      <i/>
      <u val="double"/>
      <sz val="11"/>
      <name val="Arial"/>
      <family val="2"/>
    </font>
    <font>
      <b/>
      <i/>
      <sz val="11"/>
      <name val="Arial"/>
      <family val="2"/>
    </font>
    <font>
      <b/>
      <u/>
      <sz val="11"/>
      <name val="Arial"/>
      <family val="2"/>
    </font>
    <font>
      <b/>
      <i/>
      <sz val="10"/>
      <name val="Arial"/>
      <family val="2"/>
    </font>
    <font>
      <sz val="10"/>
      <color indexed="10"/>
      <name val="Arial"/>
      <family val="2"/>
    </font>
    <font>
      <i/>
      <u/>
      <sz val="10"/>
      <name val="Arial"/>
      <family val="2"/>
    </font>
    <font>
      <i/>
      <sz val="10"/>
      <color indexed="10"/>
      <name val="Arial"/>
      <family val="2"/>
    </font>
    <font>
      <sz val="10"/>
      <color indexed="15"/>
      <name val="Arial"/>
      <family val="2"/>
    </font>
    <font>
      <sz val="10"/>
      <color indexed="51"/>
      <name val="Arial"/>
      <family val="2"/>
    </font>
    <font>
      <sz val="10"/>
      <color indexed="9"/>
      <name val="Arial"/>
      <family val="2"/>
    </font>
    <font>
      <sz val="12"/>
      <name val="Wingdings 2"/>
      <family val="1"/>
      <charset val="2"/>
    </font>
    <font>
      <b/>
      <i/>
      <sz val="12"/>
      <name val="Arial"/>
      <family val="2"/>
    </font>
    <font>
      <b/>
      <i/>
      <sz val="10"/>
      <color indexed="10"/>
      <name val="Arial"/>
      <family val="2"/>
    </font>
    <font>
      <b/>
      <sz val="11"/>
      <color indexed="10"/>
      <name val="Arial"/>
      <family val="2"/>
    </font>
    <font>
      <b/>
      <sz val="8"/>
      <color indexed="8"/>
      <name val="Verdana"/>
      <family val="2"/>
    </font>
    <font>
      <strike/>
      <sz val="10"/>
      <name val="Arial"/>
      <family val="2"/>
    </font>
    <font>
      <b/>
      <strike/>
      <sz val="10"/>
      <color indexed="52"/>
      <name val="Arial"/>
      <family val="2"/>
    </font>
    <font>
      <b/>
      <strike/>
      <sz val="10"/>
      <name val="Arial"/>
      <family val="2"/>
    </font>
    <font>
      <sz val="8"/>
      <color indexed="8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double">
        <color indexed="64"/>
      </top>
      <bottom/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tted">
        <color indexed="64"/>
      </left>
      <right style="medium">
        <color indexed="64"/>
      </right>
      <top style="double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0" fillId="0" borderId="0"/>
  </cellStyleXfs>
  <cellXfs count="581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3" xfId="0" applyNumberFormat="1" applyFont="1" applyBorder="1" applyAlignment="1" applyProtection="1">
      <alignment horizontal="center" vertical="center"/>
      <protection locked="0"/>
    </xf>
    <xf numFmtId="1" fontId="3" fillId="0" borderId="4" xfId="0" applyNumberFormat="1" applyFont="1" applyBorder="1" applyAlignment="1" applyProtection="1">
      <alignment horizontal="center" vertical="center"/>
      <protection locked="0"/>
    </xf>
    <xf numFmtId="1" fontId="3" fillId="0" borderId="5" xfId="0" applyNumberFormat="1" applyFont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4" fillId="0" borderId="0" xfId="1" applyFont="1" applyProtection="1">
      <protection locked="0"/>
    </xf>
    <xf numFmtId="0" fontId="10" fillId="0" borderId="0" xfId="1" applyProtection="1">
      <protection locked="0"/>
    </xf>
    <xf numFmtId="0" fontId="6" fillId="0" borderId="0" xfId="1" applyFont="1" applyAlignment="1" applyProtection="1">
      <alignment horizontal="right"/>
      <protection locked="0"/>
    </xf>
    <xf numFmtId="0" fontId="6" fillId="0" borderId="0" xfId="1" applyFont="1" applyAlignment="1" applyProtection="1">
      <alignment horizontal="left"/>
      <protection locked="0"/>
    </xf>
    <xf numFmtId="166" fontId="3" fillId="0" borderId="0" xfId="1" applyNumberFormat="1" applyFont="1" applyAlignment="1" applyProtection="1">
      <alignment horizontal="left" vertical="center"/>
      <protection locked="0"/>
    </xf>
    <xf numFmtId="0" fontId="10" fillId="0" borderId="0" xfId="1" applyAlignment="1" applyProtection="1">
      <alignment horizontal="left"/>
      <protection locked="0"/>
    </xf>
    <xf numFmtId="0" fontId="6" fillId="0" borderId="0" xfId="1" applyFont="1" applyBorder="1" applyAlignment="1" applyProtection="1">
      <alignment horizontal="right"/>
      <protection locked="0"/>
    </xf>
    <xf numFmtId="165" fontId="6" fillId="0" borderId="6" xfId="1" applyNumberFormat="1" applyFont="1" applyBorder="1" applyAlignment="1" applyProtection="1">
      <alignment horizontal="left" vertical="center"/>
      <protection locked="0"/>
    </xf>
    <xf numFmtId="0" fontId="1" fillId="0" borderId="0" xfId="1" applyFont="1" applyAlignment="1" applyProtection="1">
      <alignment horizontal="left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13" fillId="0" borderId="0" xfId="1" applyFont="1" applyAlignment="1" applyProtection="1">
      <alignment horizontal="right" vertical="center"/>
      <protection locked="0"/>
    </xf>
    <xf numFmtId="0" fontId="13" fillId="0" borderId="0" xfId="1" applyFont="1" applyAlignment="1" applyProtection="1">
      <alignment horizontal="left" vertical="center"/>
      <protection locked="0"/>
    </xf>
    <xf numFmtId="164" fontId="6" fillId="0" borderId="6" xfId="1" applyNumberFormat="1" applyFont="1" applyBorder="1" applyAlignment="1" applyProtection="1">
      <alignment horizontal="left" vertical="center"/>
      <protection locked="0"/>
    </xf>
    <xf numFmtId="2" fontId="6" fillId="0" borderId="6" xfId="1" applyNumberFormat="1" applyFont="1" applyBorder="1" applyAlignment="1" applyProtection="1">
      <alignment horizontal="right" vertical="center"/>
      <protection locked="0"/>
    </xf>
    <xf numFmtId="164" fontId="6" fillId="0" borderId="7" xfId="1" applyNumberFormat="1" applyFont="1" applyBorder="1" applyAlignment="1" applyProtection="1">
      <alignment horizontal="right" vertical="center"/>
      <protection locked="0"/>
    </xf>
    <xf numFmtId="164" fontId="6" fillId="0" borderId="8" xfId="1" applyNumberFormat="1" applyFont="1" applyBorder="1" applyAlignment="1" applyProtection="1">
      <alignment horizontal="right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164" fontId="6" fillId="0" borderId="10" xfId="1" applyNumberFormat="1" applyFont="1" applyBorder="1" applyAlignment="1" applyProtection="1">
      <alignment horizontal="right" vertical="center"/>
      <protection locked="0"/>
    </xf>
    <xf numFmtId="164" fontId="6" fillId="0" borderId="11" xfId="1" applyNumberFormat="1" applyFont="1" applyBorder="1" applyAlignment="1" applyProtection="1">
      <alignment horizontal="right" vertical="center"/>
      <protection locked="0"/>
    </xf>
    <xf numFmtId="0" fontId="6" fillId="0" borderId="12" xfId="1" applyFont="1" applyBorder="1" applyAlignment="1" applyProtection="1">
      <alignment horizontal="right" vertical="center"/>
      <protection locked="0"/>
    </xf>
    <xf numFmtId="0" fontId="6" fillId="0" borderId="13" xfId="1" applyFont="1" applyBorder="1" applyAlignment="1" applyProtection="1">
      <alignment horizontal="right" vertical="center"/>
      <protection locked="0"/>
    </xf>
    <xf numFmtId="0" fontId="6" fillId="0" borderId="7" xfId="1" applyFont="1" applyBorder="1" applyAlignment="1" applyProtection="1">
      <alignment horizontal="right" vertical="center"/>
      <protection locked="0"/>
    </xf>
    <xf numFmtId="164" fontId="6" fillId="0" borderId="6" xfId="1" applyNumberFormat="1" applyFont="1" applyBorder="1" applyAlignment="1" applyProtection="1">
      <alignment horizontal="right" vertical="center"/>
      <protection locked="0"/>
    </xf>
    <xf numFmtId="0" fontId="6" fillId="0" borderId="8" xfId="1" applyFont="1" applyBorder="1" applyAlignment="1" applyProtection="1">
      <alignment horizontal="right" vertical="center"/>
      <protection locked="0"/>
    </xf>
    <xf numFmtId="9" fontId="6" fillId="0" borderId="1" xfId="1" applyNumberFormat="1" applyFont="1" applyBorder="1" applyAlignment="1" applyProtection="1">
      <alignment horizontal="right" vertical="center"/>
      <protection locked="0"/>
    </xf>
    <xf numFmtId="9" fontId="6" fillId="0" borderId="14" xfId="1" applyNumberFormat="1" applyFont="1" applyBorder="1" applyAlignment="1" applyProtection="1">
      <alignment horizontal="right" vertical="center"/>
      <protection locked="0"/>
    </xf>
    <xf numFmtId="9" fontId="6" fillId="0" borderId="15" xfId="1" applyNumberFormat="1" applyFont="1" applyBorder="1" applyAlignment="1" applyProtection="1">
      <alignment horizontal="right" vertical="center"/>
      <protection locked="0"/>
    </xf>
    <xf numFmtId="9" fontId="6" fillId="0" borderId="16" xfId="1" applyNumberFormat="1" applyFont="1" applyBorder="1" applyAlignment="1" applyProtection="1">
      <alignment horizontal="right" vertical="center"/>
      <protection locked="0"/>
    </xf>
    <xf numFmtId="9" fontId="6" fillId="0" borderId="17" xfId="1" applyNumberFormat="1" applyFont="1" applyBorder="1" applyAlignment="1" applyProtection="1">
      <alignment horizontal="right" vertical="center"/>
      <protection locked="0"/>
    </xf>
    <xf numFmtId="0" fontId="10" fillId="0" borderId="0" xfId="1" applyAlignment="1" applyProtection="1">
      <alignment horizontal="right"/>
      <protection locked="0"/>
    </xf>
    <xf numFmtId="0" fontId="1" fillId="0" borderId="0" xfId="1" applyFont="1" applyBorder="1" applyAlignment="1" applyProtection="1">
      <alignment horizontal="left" vertical="center"/>
      <protection locked="0"/>
    </xf>
    <xf numFmtId="164" fontId="6" fillId="0" borderId="18" xfId="1" applyNumberFormat="1" applyFont="1" applyBorder="1" applyAlignment="1" applyProtection="1">
      <alignment horizontal="right" vertical="center"/>
      <protection locked="0"/>
    </xf>
    <xf numFmtId="0" fontId="6" fillId="0" borderId="6" xfId="1" applyFont="1" applyBorder="1" applyAlignment="1" applyProtection="1">
      <alignment horizontal="right" vertical="center"/>
      <protection locked="0"/>
    </xf>
    <xf numFmtId="164" fontId="6" fillId="0" borderId="19" xfId="1" applyNumberFormat="1" applyFont="1" applyBorder="1" applyAlignment="1" applyProtection="1">
      <alignment horizontal="left" vertical="center"/>
      <protection locked="0"/>
    </xf>
    <xf numFmtId="9" fontId="6" fillId="0" borderId="20" xfId="1" applyNumberFormat="1" applyFont="1" applyBorder="1" applyAlignment="1" applyProtection="1">
      <alignment horizontal="right" vertical="center"/>
      <protection locked="0"/>
    </xf>
    <xf numFmtId="0" fontId="6" fillId="0" borderId="18" xfId="1" applyNumberFormat="1" applyFont="1" applyBorder="1" applyAlignment="1" applyProtection="1">
      <alignment horizontal="right" vertical="center"/>
      <protection locked="0"/>
    </xf>
    <xf numFmtId="0" fontId="16" fillId="0" borderId="19" xfId="1" applyNumberFormat="1" applyFont="1" applyBorder="1" applyAlignment="1" applyProtection="1">
      <alignment horizontal="left" vertical="center"/>
      <protection locked="0"/>
    </xf>
    <xf numFmtId="0" fontId="7" fillId="0" borderId="18" xfId="1" applyNumberFormat="1" applyFont="1" applyBorder="1" applyAlignment="1" applyProtection="1">
      <alignment horizontal="left" vertical="center"/>
      <protection locked="0"/>
    </xf>
    <xf numFmtId="0" fontId="6" fillId="0" borderId="6" xfId="1" applyNumberFormat="1" applyFont="1" applyBorder="1" applyAlignment="1" applyProtection="1">
      <alignment horizontal="right" vertical="center"/>
      <protection locked="0"/>
    </xf>
    <xf numFmtId="0" fontId="6" fillId="0" borderId="1" xfId="1" applyNumberFormat="1" applyFont="1" applyBorder="1" applyAlignment="1" applyProtection="1">
      <alignment horizontal="right" vertical="center"/>
      <protection locked="0"/>
    </xf>
    <xf numFmtId="164" fontId="6" fillId="0" borderId="1" xfId="1" applyNumberFormat="1" applyFont="1" applyBorder="1" applyAlignment="1" applyProtection="1">
      <alignment horizontal="right" vertical="center"/>
      <protection locked="0"/>
    </xf>
    <xf numFmtId="0" fontId="6" fillId="0" borderId="21" xfId="1" applyFont="1" applyBorder="1" applyAlignment="1" applyProtection="1">
      <alignment horizontal="right" vertical="center"/>
      <protection locked="0"/>
    </xf>
    <xf numFmtId="9" fontId="6" fillId="0" borderId="22" xfId="1" applyNumberFormat="1" applyFont="1" applyBorder="1" applyAlignment="1" applyProtection="1">
      <alignment horizontal="right" vertical="center"/>
      <protection locked="0"/>
    </xf>
    <xf numFmtId="0" fontId="7" fillId="0" borderId="23" xfId="1" applyNumberFormat="1" applyFont="1" applyBorder="1" applyAlignment="1" applyProtection="1">
      <alignment horizontal="left" vertical="center"/>
      <protection locked="0"/>
    </xf>
    <xf numFmtId="0" fontId="4" fillId="2" borderId="0" xfId="1" applyFont="1" applyFill="1" applyProtection="1">
      <protection locked="0"/>
    </xf>
    <xf numFmtId="0" fontId="1" fillId="2" borderId="0" xfId="1" applyFont="1" applyFill="1" applyAlignment="1" applyProtection="1">
      <alignment horizontal="left"/>
      <protection locked="0"/>
    </xf>
    <xf numFmtId="0" fontId="16" fillId="0" borderId="10" xfId="1" applyNumberFormat="1" applyFont="1" applyBorder="1" applyAlignment="1" applyProtection="1">
      <alignment horizontal="center" vertical="center"/>
      <protection locked="0"/>
    </xf>
    <xf numFmtId="164" fontId="7" fillId="0" borderId="24" xfId="1" applyNumberFormat="1" applyFont="1" applyBorder="1" applyAlignment="1" applyProtection="1">
      <alignment horizontal="left" vertical="center"/>
      <protection locked="0"/>
    </xf>
    <xf numFmtId="164" fontId="7" fillId="0" borderId="25" xfId="1" applyNumberFormat="1" applyFont="1" applyBorder="1" applyAlignment="1" applyProtection="1">
      <alignment horizontal="left" vertical="center"/>
      <protection locked="0"/>
    </xf>
    <xf numFmtId="0" fontId="1" fillId="3" borderId="0" xfId="1" applyFont="1" applyFill="1" applyAlignment="1" applyProtection="1">
      <alignment horizontal="left"/>
      <protection locked="0"/>
    </xf>
    <xf numFmtId="0" fontId="3" fillId="0" borderId="0" xfId="1" applyFont="1" applyAlignment="1" applyProtection="1">
      <alignment horizontal="left"/>
      <protection locked="0"/>
    </xf>
    <xf numFmtId="0" fontId="18" fillId="0" borderId="0" xfId="1" applyFont="1" applyAlignment="1" applyProtection="1">
      <alignment horizontal="left"/>
      <protection locked="0"/>
    </xf>
    <xf numFmtId="0" fontId="1" fillId="0" borderId="0" xfId="1" applyFont="1" applyFill="1" applyAlignment="1" applyProtection="1">
      <alignment horizontal="left"/>
      <protection locked="0"/>
    </xf>
    <xf numFmtId="0" fontId="10" fillId="0" borderId="0" xfId="1" applyAlignment="1" applyProtection="1">
      <alignment horizontal="center"/>
      <protection locked="0"/>
    </xf>
    <xf numFmtId="0" fontId="16" fillId="0" borderId="26" xfId="1" applyNumberFormat="1" applyFont="1" applyBorder="1" applyAlignment="1" applyProtection="1">
      <alignment horizontal="center" vertical="center"/>
      <protection locked="0"/>
    </xf>
    <xf numFmtId="0" fontId="10" fillId="0" borderId="0" xfId="1" applyAlignment="1" applyProtection="1">
      <alignment horizontal="left" vertical="center"/>
      <protection locked="0"/>
    </xf>
    <xf numFmtId="0" fontId="4" fillId="2" borderId="0" xfId="1" applyFont="1" applyFill="1" applyAlignment="1" applyProtection="1">
      <alignment vertical="center"/>
      <protection locked="0"/>
    </xf>
    <xf numFmtId="49" fontId="4" fillId="3" borderId="0" xfId="1" applyNumberFormat="1" applyFont="1" applyFill="1" applyProtection="1">
      <protection locked="0"/>
    </xf>
    <xf numFmtId="0" fontId="4" fillId="3" borderId="0" xfId="1" applyFont="1" applyFill="1" applyProtection="1">
      <protection locked="0"/>
    </xf>
    <xf numFmtId="0" fontId="10" fillId="4" borderId="0" xfId="1" applyFill="1" applyAlignment="1" applyProtection="1">
      <alignment horizontal="left"/>
      <protection locked="0"/>
    </xf>
    <xf numFmtId="0" fontId="18" fillId="4" borderId="0" xfId="1" applyFont="1" applyFill="1" applyAlignment="1" applyProtection="1">
      <alignment horizontal="right"/>
      <protection locked="0"/>
    </xf>
    <xf numFmtId="164" fontId="6" fillId="0" borderId="4" xfId="1" applyNumberFormat="1" applyFont="1" applyBorder="1" applyAlignment="1" applyProtection="1">
      <alignment horizontal="left" vertical="center"/>
      <protection locked="0"/>
    </xf>
    <xf numFmtId="0" fontId="6" fillId="0" borderId="6" xfId="1" applyFont="1" applyBorder="1" applyAlignment="1" applyProtection="1">
      <alignment horizontal="left" vertical="center"/>
      <protection locked="0"/>
    </xf>
    <xf numFmtId="0" fontId="6" fillId="0" borderId="1" xfId="1" applyFont="1" applyBorder="1" applyAlignment="1" applyProtection="1">
      <alignment horizontal="left" vertical="center"/>
      <protection locked="0"/>
    </xf>
    <xf numFmtId="0" fontId="0" fillId="3" borderId="0" xfId="0" applyFill="1"/>
    <xf numFmtId="0" fontId="4" fillId="0" borderId="0" xfId="1" applyFont="1" applyFill="1" applyProtection="1"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6" fillId="0" borderId="8" xfId="1" applyFont="1" applyBorder="1" applyAlignment="1" applyProtection="1">
      <alignment horizontal="left"/>
      <protection locked="0"/>
    </xf>
    <xf numFmtId="0" fontId="6" fillId="0" borderId="11" xfId="1" applyFont="1" applyBorder="1" applyAlignment="1" applyProtection="1">
      <alignment horizontal="left"/>
      <protection locked="0"/>
    </xf>
    <xf numFmtId="0" fontId="6" fillId="0" borderId="11" xfId="1" applyNumberFormat="1" applyFont="1" applyBorder="1" applyAlignment="1" applyProtection="1">
      <alignment horizontal="left"/>
      <protection locked="0"/>
    </xf>
    <xf numFmtId="0" fontId="6" fillId="0" borderId="17" xfId="1" applyFont="1" applyBorder="1" applyAlignment="1" applyProtection="1">
      <alignment horizontal="left"/>
      <protection locked="0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4" fillId="0" borderId="0" xfId="0" applyFont="1" applyAlignment="1">
      <alignment vertical="center"/>
    </xf>
    <xf numFmtId="0" fontId="10" fillId="2" borderId="0" xfId="1" applyFont="1" applyFill="1" applyAlignment="1" applyProtection="1">
      <alignment horizontal="center"/>
      <protection locked="0"/>
    </xf>
    <xf numFmtId="49" fontId="4" fillId="2" borderId="0" xfId="1" applyNumberFormat="1" applyFont="1" applyFill="1" applyAlignment="1" applyProtection="1">
      <alignment horizontal="center"/>
      <protection locked="0"/>
    </xf>
    <xf numFmtId="0" fontId="4" fillId="0" borderId="0" xfId="1" applyFont="1" applyFill="1" applyAlignment="1" applyProtection="1">
      <alignment horizontal="center"/>
      <protection locked="0"/>
    </xf>
    <xf numFmtId="0" fontId="18" fillId="0" borderId="27" xfId="1" applyFont="1" applyBorder="1" applyAlignment="1" applyProtection="1">
      <alignment horizontal="center" vertical="center"/>
      <protection locked="0"/>
    </xf>
    <xf numFmtId="0" fontId="18" fillId="0" borderId="28" xfId="1" applyFont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4" borderId="0" xfId="1" applyFont="1" applyFill="1" applyAlignment="1" applyProtection="1">
      <alignment horizontal="center"/>
      <protection locked="0"/>
    </xf>
    <xf numFmtId="0" fontId="16" fillId="0" borderId="28" xfId="1" applyFont="1" applyBorder="1" applyAlignment="1" applyProtection="1">
      <alignment horizontal="center" vertical="center"/>
      <protection locked="0"/>
    </xf>
    <xf numFmtId="0" fontId="0" fillId="0" borderId="0" xfId="0" applyFill="1"/>
    <xf numFmtId="0" fontId="3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6" borderId="0" xfId="1" applyFont="1" applyFill="1" applyAlignment="1" applyProtection="1">
      <alignment vertical="center"/>
      <protection locked="0"/>
    </xf>
    <xf numFmtId="0" fontId="10" fillId="0" borderId="18" xfId="1" applyBorder="1" applyAlignment="1" applyProtection="1">
      <alignment horizontal="left"/>
      <protection locked="0"/>
    </xf>
    <xf numFmtId="0" fontId="8" fillId="0" borderId="18" xfId="1" applyFont="1" applyBorder="1" applyAlignment="1" applyProtection="1">
      <alignment horizontal="left"/>
      <protection locked="0"/>
    </xf>
    <xf numFmtId="0" fontId="16" fillId="0" borderId="29" xfId="1" applyNumberFormat="1" applyFont="1" applyBorder="1" applyAlignment="1" applyProtection="1">
      <alignment horizontal="left" vertical="center"/>
      <protection locked="0"/>
    </xf>
    <xf numFmtId="0" fontId="6" fillId="0" borderId="26" xfId="1" applyNumberFormat="1" applyFont="1" applyBorder="1" applyAlignment="1" applyProtection="1">
      <alignment horizontal="right" vertical="center"/>
      <protection locked="0"/>
    </xf>
    <xf numFmtId="0" fontId="16" fillId="0" borderId="27" xfId="1" applyFont="1" applyBorder="1" applyAlignment="1" applyProtection="1">
      <alignment horizontal="center" vertical="center"/>
      <protection locked="0"/>
    </xf>
    <xf numFmtId="0" fontId="15" fillId="5" borderId="0" xfId="1" applyFont="1" applyFill="1" applyAlignment="1" applyProtection="1">
      <alignment horizontal="right"/>
      <protection locked="0"/>
    </xf>
    <xf numFmtId="0" fontId="1" fillId="2" borderId="0" xfId="1" applyFont="1" applyFill="1" applyBorder="1" applyAlignment="1" applyProtection="1">
      <alignment horizontal="left"/>
      <protection locked="0"/>
    </xf>
    <xf numFmtId="0" fontId="1" fillId="2" borderId="0" xfId="1" applyFont="1" applyFill="1" applyBorder="1" applyAlignment="1" applyProtection="1">
      <alignment horizontal="left" vertical="center"/>
      <protection locked="0"/>
    </xf>
    <xf numFmtId="0" fontId="4" fillId="0" borderId="0" xfId="1" applyFont="1" applyFill="1" applyAlignment="1" applyProtection="1">
      <alignment vertical="center"/>
      <protection locked="0"/>
    </xf>
    <xf numFmtId="0" fontId="10" fillId="0" borderId="0" xfId="1" applyBorder="1" applyAlignment="1" applyProtection="1">
      <alignment horizontal="left"/>
      <protection locked="0"/>
    </xf>
    <xf numFmtId="0" fontId="10" fillId="0" borderId="0" xfId="1" applyBorder="1" applyProtection="1">
      <protection locked="0"/>
    </xf>
    <xf numFmtId="0" fontId="13" fillId="0" borderId="0" xfId="1" applyFont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10" fillId="0" borderId="0" xfId="1" applyAlignment="1" applyProtection="1">
      <alignment vertical="center"/>
      <protection locked="0"/>
    </xf>
    <xf numFmtId="0" fontId="13" fillId="0" borderId="6" xfId="1" applyFont="1" applyBorder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0" fillId="0" borderId="6" xfId="0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30" xfId="0" applyFont="1" applyBorder="1" applyAlignment="1" applyProtection="1">
      <alignment horizontal="left" vertical="center"/>
      <protection locked="0"/>
    </xf>
    <xf numFmtId="0" fontId="18" fillId="0" borderId="11" xfId="1" applyFont="1" applyBorder="1" applyAlignment="1" applyProtection="1">
      <alignment horizontal="center" vertical="center"/>
      <protection locked="0"/>
    </xf>
    <xf numFmtId="0" fontId="10" fillId="0" borderId="6" xfId="1" applyBorder="1" applyAlignment="1" applyProtection="1">
      <alignment horizontal="left"/>
      <protection locked="0"/>
    </xf>
    <xf numFmtId="0" fontId="0" fillId="0" borderId="1" xfId="0" applyBorder="1"/>
    <xf numFmtId="0" fontId="4" fillId="3" borderId="0" xfId="1" applyFont="1" applyFill="1" applyAlignment="1" applyProtection="1">
      <alignment vertical="center"/>
      <protection locked="0"/>
    </xf>
    <xf numFmtId="0" fontId="6" fillId="0" borderId="26" xfId="1" applyFont="1" applyBorder="1" applyAlignment="1" applyProtection="1">
      <alignment horizontal="left" vertical="center"/>
      <protection locked="0"/>
    </xf>
    <xf numFmtId="14" fontId="6" fillId="0" borderId="31" xfId="1" applyNumberFormat="1" applyFont="1" applyBorder="1" applyAlignment="1" applyProtection="1">
      <alignment horizontal="left" vertical="center"/>
      <protection locked="0"/>
    </xf>
    <xf numFmtId="0" fontId="6" fillId="0" borderId="18" xfId="1" applyFont="1" applyBorder="1" applyAlignment="1" applyProtection="1">
      <alignment horizontal="left" vertical="center"/>
      <protection locked="0"/>
    </xf>
    <xf numFmtId="14" fontId="6" fillId="0" borderId="18" xfId="1" applyNumberFormat="1" applyFont="1" applyBorder="1" applyAlignment="1" applyProtection="1">
      <alignment horizontal="left" vertical="center"/>
      <protection locked="0"/>
    </xf>
    <xf numFmtId="14" fontId="6" fillId="0" borderId="32" xfId="1" applyNumberFormat="1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164" fontId="16" fillId="0" borderId="25" xfId="1" applyNumberFormat="1" applyFont="1" applyBorder="1" applyAlignment="1" applyProtection="1">
      <alignment horizontal="left" vertical="center"/>
      <protection locked="0"/>
    </xf>
    <xf numFmtId="0" fontId="3" fillId="0" borderId="33" xfId="1" applyFont="1" applyFill="1" applyBorder="1" applyAlignment="1" applyProtection="1">
      <alignment horizontal="left" vertical="center"/>
    </xf>
    <xf numFmtId="0" fontId="10" fillId="0" borderId="33" xfId="1" applyBorder="1" applyAlignment="1" applyProtection="1">
      <alignment horizontal="center" vertical="center"/>
    </xf>
    <xf numFmtId="0" fontId="3" fillId="0" borderId="26" xfId="1" applyFont="1" applyFill="1" applyBorder="1" applyAlignment="1" applyProtection="1">
      <alignment horizontal="left" vertical="center"/>
    </xf>
    <xf numFmtId="0" fontId="10" fillId="0" borderId="26" xfId="1" applyBorder="1" applyAlignment="1" applyProtection="1">
      <alignment horizontal="center" vertical="center"/>
    </xf>
    <xf numFmtId="0" fontId="3" fillId="0" borderId="18" xfId="1" applyFont="1" applyFill="1" applyBorder="1" applyAlignment="1" applyProtection="1">
      <alignment horizontal="left" vertical="center"/>
    </xf>
    <xf numFmtId="0" fontId="4" fillId="4" borderId="0" xfId="1" applyFont="1" applyFill="1" applyProtection="1"/>
    <xf numFmtId="0" fontId="3" fillId="4" borderId="0" xfId="1" applyFont="1" applyFill="1" applyAlignment="1" applyProtection="1">
      <alignment horizontal="left"/>
    </xf>
    <xf numFmtId="0" fontId="3" fillId="4" borderId="0" xfId="1" applyFont="1" applyFill="1" applyAlignment="1" applyProtection="1">
      <alignment horizontal="center"/>
    </xf>
    <xf numFmtId="0" fontId="3" fillId="4" borderId="0" xfId="0" applyFont="1" applyFill="1" applyAlignment="1" applyProtection="1">
      <alignment horizontal="center"/>
      <protection locked="0"/>
    </xf>
    <xf numFmtId="0" fontId="0" fillId="4" borderId="0" xfId="0" applyFill="1" applyAlignment="1" applyProtection="1">
      <alignment horizontal="center"/>
      <protection locked="0"/>
    </xf>
    <xf numFmtId="49" fontId="4" fillId="3" borderId="0" xfId="1" applyNumberFormat="1" applyFont="1" applyFill="1" applyProtection="1"/>
    <xf numFmtId="0" fontId="0" fillId="3" borderId="0" xfId="0" applyFill="1" applyProtection="1"/>
    <xf numFmtId="0" fontId="4" fillId="0" borderId="0" xfId="1" applyFont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vertical="center"/>
    </xf>
    <xf numFmtId="0" fontId="3" fillId="4" borderId="0" xfId="0" applyNumberFormat="1" applyFont="1" applyFill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0" fillId="0" borderId="0" xfId="0" applyProtection="1"/>
    <xf numFmtId="49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left" vertical="center"/>
    </xf>
    <xf numFmtId="14" fontId="4" fillId="0" borderId="0" xfId="0" applyNumberFormat="1" applyFont="1" applyAlignment="1" applyProtection="1">
      <alignment horizontal="center" vertical="center"/>
    </xf>
    <xf numFmtId="22" fontId="0" fillId="0" borderId="0" xfId="0" applyNumberFormat="1" applyFill="1" applyAlignment="1" applyProtection="1">
      <alignment horizontal="center" vertical="center"/>
    </xf>
    <xf numFmtId="14" fontId="0" fillId="0" borderId="0" xfId="0" applyNumberFormat="1" applyFill="1" applyAlignment="1" applyProtection="1">
      <alignment horizontal="center" vertical="center"/>
    </xf>
    <xf numFmtId="0" fontId="10" fillId="0" borderId="0" xfId="1" applyAlignment="1" applyProtection="1">
      <alignment horizontal="left"/>
    </xf>
    <xf numFmtId="0" fontId="0" fillId="0" borderId="0" xfId="0" applyFill="1" applyAlignment="1" applyProtection="1">
      <alignment horizontal="center"/>
    </xf>
    <xf numFmtId="0" fontId="0" fillId="0" borderId="0" xfId="0" applyNumberFormat="1" applyFill="1" applyAlignment="1" applyProtection="1">
      <alignment horizontal="left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6" fillId="0" borderId="0" xfId="1" applyFont="1" applyBorder="1" applyAlignment="1" applyProtection="1">
      <alignment horizontal="right"/>
    </xf>
    <xf numFmtId="0" fontId="6" fillId="0" borderId="0" xfId="1" applyFont="1" applyBorder="1" applyAlignment="1" applyProtection="1">
      <alignment horizontal="left"/>
    </xf>
    <xf numFmtId="165" fontId="6" fillId="0" borderId="6" xfId="1" applyNumberFormat="1" applyFont="1" applyBorder="1" applyAlignment="1" applyProtection="1">
      <alignment horizontal="left" vertical="center"/>
    </xf>
    <xf numFmtId="0" fontId="6" fillId="0" borderId="0" xfId="1" applyFont="1" applyAlignment="1" applyProtection="1">
      <alignment horizontal="right"/>
    </xf>
    <xf numFmtId="0" fontId="6" fillId="0" borderId="0" xfId="1" applyFont="1" applyAlignment="1" applyProtection="1">
      <alignment horizontal="left"/>
    </xf>
    <xf numFmtId="0" fontId="6" fillId="0" borderId="0" xfId="1" applyFont="1" applyAlignment="1" applyProtection="1">
      <alignment horizontal="left" vertical="center"/>
    </xf>
    <xf numFmtId="0" fontId="6" fillId="0" borderId="0" xfId="0" applyFont="1" applyAlignment="1" applyProtection="1">
      <alignment horizontal="left" vertical="center"/>
    </xf>
    <xf numFmtId="0" fontId="13" fillId="0" borderId="0" xfId="1" applyFont="1" applyAlignment="1" applyProtection="1">
      <alignment horizontal="right" vertical="center"/>
    </xf>
    <xf numFmtId="0" fontId="13" fillId="0" borderId="0" xfId="1" applyFont="1" applyAlignment="1" applyProtection="1">
      <alignment horizontal="left" vertical="center"/>
    </xf>
    <xf numFmtId="0" fontId="14" fillId="0" borderId="6" xfId="1" applyFont="1" applyBorder="1" applyAlignment="1" applyProtection="1">
      <alignment horizontal="left" vertical="center"/>
    </xf>
    <xf numFmtId="0" fontId="14" fillId="0" borderId="18" xfId="1" applyFont="1" applyBorder="1" applyAlignment="1" applyProtection="1">
      <alignment horizontal="left" vertical="center"/>
    </xf>
    <xf numFmtId="0" fontId="14" fillId="0" borderId="18" xfId="1" applyFont="1" applyFill="1" applyBorder="1" applyAlignment="1" applyProtection="1">
      <alignment horizontal="left" vertical="center"/>
    </xf>
    <xf numFmtId="0" fontId="6" fillId="0" borderId="6" xfId="1" applyFont="1" applyBorder="1" applyAlignment="1" applyProtection="1">
      <alignment horizontal="left" vertical="center"/>
    </xf>
    <xf numFmtId="0" fontId="6" fillId="0" borderId="1" xfId="1" applyFont="1" applyBorder="1" applyAlignment="1" applyProtection="1">
      <alignment horizontal="left" vertical="center"/>
    </xf>
    <xf numFmtId="0" fontId="10" fillId="0" borderId="0" xfId="1" applyAlignment="1" applyProtection="1">
      <alignment horizontal="right"/>
    </xf>
    <xf numFmtId="0" fontId="1" fillId="2" borderId="0" xfId="1" applyFont="1" applyFill="1" applyBorder="1" applyAlignment="1" applyProtection="1">
      <alignment horizontal="left"/>
    </xf>
    <xf numFmtId="0" fontId="1" fillId="2" borderId="0" xfId="1" applyFont="1" applyFill="1" applyAlignment="1" applyProtection="1">
      <alignment horizontal="left"/>
    </xf>
    <xf numFmtId="0" fontId="1" fillId="0" borderId="0" xfId="1" applyFont="1" applyFill="1" applyAlignment="1" applyProtection="1">
      <alignment horizontal="left"/>
    </xf>
    <xf numFmtId="0" fontId="1" fillId="0" borderId="0" xfId="1" applyFont="1" applyAlignment="1" applyProtection="1">
      <alignment horizontal="left"/>
    </xf>
    <xf numFmtId="0" fontId="8" fillId="0" borderId="18" xfId="1" applyFont="1" applyBorder="1" applyAlignment="1" applyProtection="1">
      <alignment horizontal="left"/>
    </xf>
    <xf numFmtId="0" fontId="10" fillId="0" borderId="18" xfId="1" applyBorder="1" applyAlignment="1" applyProtection="1">
      <alignment horizontal="left"/>
    </xf>
    <xf numFmtId="164" fontId="6" fillId="0" borderId="6" xfId="1" applyNumberFormat="1" applyFont="1" applyBorder="1" applyAlignment="1" applyProtection="1">
      <alignment horizontal="right" vertical="center"/>
    </xf>
    <xf numFmtId="0" fontId="8" fillId="0" borderId="34" xfId="1" applyNumberFormat="1" applyFont="1" applyBorder="1" applyAlignment="1" applyProtection="1">
      <alignment horizontal="left" vertical="center"/>
    </xf>
    <xf numFmtId="164" fontId="6" fillId="0" borderId="13" xfId="1" applyNumberFormat="1" applyFont="1" applyBorder="1" applyAlignment="1" applyProtection="1">
      <alignment horizontal="right" vertical="center"/>
    </xf>
    <xf numFmtId="2" fontId="16" fillId="0" borderId="6" xfId="1" applyNumberFormat="1" applyFont="1" applyBorder="1" applyAlignment="1" applyProtection="1">
      <alignment horizontal="center" vertical="center"/>
    </xf>
    <xf numFmtId="0" fontId="6" fillId="0" borderId="18" xfId="1" applyNumberFormat="1" applyFont="1" applyBorder="1" applyAlignment="1" applyProtection="1">
      <alignment horizontal="right" vertical="center"/>
    </xf>
    <xf numFmtId="0" fontId="8" fillId="0" borderId="18" xfId="1" applyNumberFormat="1" applyFont="1" applyBorder="1" applyAlignment="1" applyProtection="1">
      <alignment horizontal="left" vertical="center"/>
    </xf>
    <xf numFmtId="0" fontId="6" fillId="0" borderId="35" xfId="1" applyNumberFormat="1" applyFont="1" applyBorder="1" applyAlignment="1" applyProtection="1">
      <alignment horizontal="right" vertical="center"/>
    </xf>
    <xf numFmtId="0" fontId="16" fillId="0" borderId="18" xfId="1" applyNumberFormat="1" applyFont="1" applyBorder="1" applyAlignment="1" applyProtection="1">
      <alignment horizontal="center" vertical="center"/>
    </xf>
    <xf numFmtId="0" fontId="6" fillId="0" borderId="6" xfId="1" applyFont="1" applyBorder="1" applyAlignment="1" applyProtection="1">
      <alignment horizontal="right" vertical="center"/>
    </xf>
    <xf numFmtId="164" fontId="6" fillId="0" borderId="6" xfId="1" applyNumberFormat="1" applyFont="1" applyBorder="1" applyAlignment="1" applyProtection="1">
      <alignment horizontal="left" vertical="center"/>
    </xf>
    <xf numFmtId="0" fontId="6" fillId="0" borderId="13" xfId="1" applyFont="1" applyBorder="1" applyAlignment="1" applyProtection="1">
      <alignment horizontal="right" vertical="center"/>
    </xf>
    <xf numFmtId="2" fontId="6" fillId="0" borderId="6" xfId="1" applyNumberFormat="1" applyFont="1" applyBorder="1" applyAlignment="1" applyProtection="1">
      <alignment horizontal="right" vertical="center"/>
    </xf>
    <xf numFmtId="9" fontId="6" fillId="0" borderId="1" xfId="1" applyNumberFormat="1" applyFont="1" applyBorder="1" applyAlignment="1" applyProtection="1">
      <alignment horizontal="right" vertical="center"/>
    </xf>
    <xf numFmtId="9" fontId="6" fillId="0" borderId="15" xfId="1" applyNumberFormat="1" applyFont="1" applyBorder="1" applyAlignment="1" applyProtection="1">
      <alignment horizontal="right" vertical="center"/>
    </xf>
    <xf numFmtId="0" fontId="1" fillId="2" borderId="0" xfId="1" applyFont="1" applyFill="1" applyBorder="1" applyAlignment="1" applyProtection="1">
      <alignment horizontal="left" vertical="center"/>
    </xf>
    <xf numFmtId="0" fontId="1" fillId="0" borderId="0" xfId="1" applyFont="1" applyBorder="1" applyAlignment="1" applyProtection="1">
      <alignment horizontal="left" vertical="center"/>
    </xf>
    <xf numFmtId="0" fontId="3" fillId="0" borderId="0" xfId="1" applyFont="1" applyAlignment="1" applyProtection="1">
      <alignment horizontal="left"/>
    </xf>
    <xf numFmtId="164" fontId="16" fillId="0" borderId="36" xfId="1" applyNumberFormat="1" applyFont="1" applyBorder="1" applyAlignment="1" applyProtection="1">
      <alignment horizontal="left" vertical="center"/>
    </xf>
    <xf numFmtId="164" fontId="8" fillId="0" borderId="12" xfId="1" applyNumberFormat="1" applyFont="1" applyBorder="1" applyAlignment="1" applyProtection="1">
      <alignment horizontal="right" vertical="center"/>
    </xf>
    <xf numFmtId="0" fontId="8" fillId="0" borderId="2" xfId="1" applyNumberFormat="1" applyFont="1" applyBorder="1" applyAlignment="1" applyProtection="1">
      <alignment horizontal="left" vertical="center"/>
    </xf>
    <xf numFmtId="0" fontId="8" fillId="0" borderId="36" xfId="1" applyNumberFormat="1" applyFont="1" applyBorder="1" applyAlignment="1" applyProtection="1">
      <alignment horizontal="left" vertical="center"/>
    </xf>
    <xf numFmtId="0" fontId="8" fillId="0" borderId="6" xfId="1" applyNumberFormat="1" applyFont="1" applyBorder="1" applyAlignment="1" applyProtection="1">
      <alignment horizontal="left" vertical="center"/>
    </xf>
    <xf numFmtId="164" fontId="6" fillId="0" borderId="21" xfId="1" applyNumberFormat="1" applyFont="1" applyBorder="1" applyAlignment="1" applyProtection="1">
      <alignment horizontal="right" vertical="center"/>
    </xf>
    <xf numFmtId="0" fontId="15" fillId="7" borderId="23" xfId="1" applyNumberFormat="1" applyFont="1" applyFill="1" applyBorder="1" applyAlignment="1" applyProtection="1">
      <alignment horizontal="left" vertical="center"/>
    </xf>
    <xf numFmtId="0" fontId="20" fillId="0" borderId="9" xfId="1" applyFont="1" applyFill="1" applyBorder="1" applyAlignment="1" applyProtection="1">
      <alignment horizontal="center" vertical="center"/>
    </xf>
    <xf numFmtId="164" fontId="16" fillId="0" borderId="26" xfId="1" applyNumberFormat="1" applyFont="1" applyBorder="1" applyAlignment="1" applyProtection="1">
      <alignment horizontal="left" vertical="center"/>
    </xf>
    <xf numFmtId="164" fontId="8" fillId="0" borderId="37" xfId="1" applyNumberFormat="1" applyFont="1" applyBorder="1" applyAlignment="1" applyProtection="1">
      <alignment horizontal="right" vertical="center"/>
    </xf>
    <xf numFmtId="0" fontId="8" fillId="0" borderId="38" xfId="1" applyNumberFormat="1" applyFont="1" applyBorder="1" applyAlignment="1" applyProtection="1">
      <alignment horizontal="left" vertical="center"/>
    </xf>
    <xf numFmtId="0" fontId="8" fillId="0" borderId="26" xfId="1" applyNumberFormat="1" applyFont="1" applyBorder="1" applyAlignment="1" applyProtection="1">
      <alignment horizontal="left" vertical="center"/>
    </xf>
    <xf numFmtId="164" fontId="6" fillId="0" borderId="39" xfId="1" applyNumberFormat="1" applyFont="1" applyBorder="1" applyAlignment="1" applyProtection="1">
      <alignment horizontal="right" vertical="center"/>
    </xf>
    <xf numFmtId="0" fontId="15" fillId="7" borderId="31" xfId="1" applyNumberFormat="1" applyFont="1" applyFill="1" applyBorder="1" applyAlignment="1" applyProtection="1">
      <alignment horizontal="left" vertical="center"/>
    </xf>
    <xf numFmtId="0" fontId="6" fillId="0" borderId="12" xfId="1" applyFont="1" applyBorder="1" applyAlignment="1" applyProtection="1">
      <alignment horizontal="right" vertical="center"/>
    </xf>
    <xf numFmtId="0" fontId="6" fillId="0" borderId="21" xfId="1" applyFont="1" applyBorder="1" applyAlignment="1" applyProtection="1">
      <alignment horizontal="right" vertical="center"/>
    </xf>
    <xf numFmtId="164" fontId="6" fillId="0" borderId="4" xfId="1" applyNumberFormat="1" applyFont="1" applyBorder="1" applyAlignment="1" applyProtection="1">
      <alignment horizontal="left" vertical="center"/>
    </xf>
    <xf numFmtId="0" fontId="3" fillId="0" borderId="9" xfId="1" applyFont="1" applyBorder="1" applyAlignment="1" applyProtection="1">
      <alignment horizontal="center" vertical="center"/>
    </xf>
    <xf numFmtId="164" fontId="6" fillId="0" borderId="1" xfId="1" applyNumberFormat="1" applyFont="1" applyBorder="1" applyAlignment="1" applyProtection="1">
      <alignment horizontal="right" vertical="center"/>
    </xf>
    <xf numFmtId="9" fontId="6" fillId="0" borderId="14" xfId="1" applyNumberFormat="1" applyFont="1" applyBorder="1" applyAlignment="1" applyProtection="1">
      <alignment horizontal="right" vertical="center"/>
    </xf>
    <xf numFmtId="9" fontId="6" fillId="0" borderId="22" xfId="1" applyNumberFormat="1" applyFont="1" applyBorder="1" applyAlignment="1" applyProtection="1">
      <alignment horizontal="right" vertical="center"/>
    </xf>
    <xf numFmtId="0" fontId="1" fillId="3" borderId="0" xfId="1" applyFont="1" applyFill="1" applyAlignment="1" applyProtection="1">
      <alignment horizontal="left"/>
    </xf>
    <xf numFmtId="0" fontId="18" fillId="0" borderId="0" xfId="1" applyFont="1" applyAlignment="1" applyProtection="1">
      <alignment horizontal="left"/>
    </xf>
    <xf numFmtId="0" fontId="10" fillId="4" borderId="0" xfId="1" applyFill="1" applyAlignment="1" applyProtection="1">
      <alignment horizontal="left"/>
    </xf>
    <xf numFmtId="0" fontId="18" fillId="4" borderId="0" xfId="1" applyFont="1" applyFill="1" applyAlignment="1" applyProtection="1">
      <alignment horizontal="right"/>
    </xf>
    <xf numFmtId="0" fontId="10" fillId="0" borderId="26" xfId="1" applyBorder="1" applyAlignment="1" applyProtection="1">
      <alignment horizontal="left" vertical="center"/>
    </xf>
    <xf numFmtId="0" fontId="17" fillId="0" borderId="0" xfId="1" applyFont="1" applyFill="1" applyProtection="1"/>
    <xf numFmtId="0" fontId="17" fillId="0" borderId="0" xfId="0" applyFont="1" applyProtection="1"/>
    <xf numFmtId="0" fontId="4" fillId="0" borderId="0" xfId="1" applyFont="1" applyFill="1" applyProtection="1"/>
    <xf numFmtId="0" fontId="0" fillId="4" borderId="0" xfId="0" applyFill="1" applyProtection="1"/>
    <xf numFmtId="0" fontId="4" fillId="0" borderId="0" xfId="1" applyFont="1" applyAlignment="1" applyProtection="1">
      <alignment vertical="center"/>
    </xf>
    <xf numFmtId="0" fontId="28" fillId="2" borderId="0" xfId="1" applyFont="1" applyFill="1" applyProtection="1"/>
    <xf numFmtId="0" fontId="4" fillId="2" borderId="0" xfId="1" applyFont="1" applyFill="1" applyAlignment="1" applyProtection="1">
      <alignment vertical="center"/>
    </xf>
    <xf numFmtId="0" fontId="4" fillId="2" borderId="0" xfId="1" applyFont="1" applyFill="1" applyProtection="1"/>
    <xf numFmtId="0" fontId="0" fillId="2" borderId="0" xfId="0" applyFill="1" applyProtection="1"/>
    <xf numFmtId="0" fontId="0" fillId="8" borderId="0" xfId="0" applyFill="1" applyProtection="1"/>
    <xf numFmtId="0" fontId="4" fillId="8" borderId="0" xfId="1" applyFont="1" applyFill="1" applyProtection="1"/>
    <xf numFmtId="166" fontId="3" fillId="0" borderId="0" xfId="1" applyNumberFormat="1" applyFont="1" applyAlignment="1" applyProtection="1">
      <alignment horizontal="left" vertical="center"/>
    </xf>
    <xf numFmtId="166" fontId="17" fillId="0" borderId="0" xfId="1" applyNumberFormat="1" applyFont="1" applyAlignment="1" applyProtection="1">
      <alignment horizontal="left" vertical="center"/>
    </xf>
    <xf numFmtId="166" fontId="6" fillId="0" borderId="0" xfId="1" applyNumberFormat="1" applyFont="1" applyAlignment="1" applyProtection="1">
      <alignment horizontal="left" vertical="center"/>
    </xf>
    <xf numFmtId="0" fontId="4" fillId="0" borderId="0" xfId="1" applyFont="1" applyAlignment="1" applyProtection="1">
      <alignment horizontal="left"/>
    </xf>
    <xf numFmtId="0" fontId="10" fillId="0" borderId="0" xfId="1" applyAlignment="1" applyProtection="1">
      <alignment horizontal="center"/>
    </xf>
    <xf numFmtId="0" fontId="10" fillId="0" borderId="0" xfId="1" applyAlignment="1" applyProtection="1">
      <alignment horizontal="left" vertical="center"/>
    </xf>
    <xf numFmtId="0" fontId="16" fillId="0" borderId="8" xfId="1" applyFont="1" applyBorder="1" applyAlignment="1" applyProtection="1">
      <alignment horizontal="left" vertical="center"/>
    </xf>
    <xf numFmtId="0" fontId="16" fillId="0" borderId="19" xfId="1" applyFont="1" applyBorder="1" applyAlignment="1" applyProtection="1">
      <alignment horizontal="left" vertical="center"/>
    </xf>
    <xf numFmtId="0" fontId="7" fillId="0" borderId="6" xfId="1" applyFont="1" applyBorder="1" applyAlignment="1" applyProtection="1">
      <alignment horizontal="left" vertical="center"/>
    </xf>
    <xf numFmtId="0" fontId="7" fillId="0" borderId="19" xfId="1" applyFont="1" applyBorder="1" applyAlignment="1" applyProtection="1">
      <alignment horizontal="left" vertical="center"/>
    </xf>
    <xf numFmtId="0" fontId="7" fillId="0" borderId="8" xfId="1" applyFont="1" applyBorder="1" applyAlignment="1" applyProtection="1">
      <alignment horizontal="left" vertical="center"/>
    </xf>
    <xf numFmtId="0" fontId="8" fillId="0" borderId="12" xfId="1" applyFont="1" applyBorder="1" applyAlignment="1" applyProtection="1">
      <alignment horizontal="left" vertical="center"/>
    </xf>
    <xf numFmtId="0" fontId="7" fillId="0" borderId="21" xfId="1" applyFont="1" applyBorder="1" applyAlignment="1" applyProtection="1">
      <alignment vertical="center"/>
    </xf>
    <xf numFmtId="0" fontId="12" fillId="0" borderId="6" xfId="1" applyFont="1" applyBorder="1" applyAlignment="1" applyProtection="1">
      <alignment horizontal="left" vertical="center"/>
    </xf>
    <xf numFmtId="0" fontId="4" fillId="0" borderId="9" xfId="1" applyFont="1" applyBorder="1" applyAlignment="1" applyProtection="1">
      <alignment horizontal="left"/>
    </xf>
    <xf numFmtId="0" fontId="16" fillId="0" borderId="9" xfId="1" applyFont="1" applyBorder="1" applyAlignment="1" applyProtection="1">
      <alignment horizontal="left" vertical="center"/>
    </xf>
    <xf numFmtId="164" fontId="16" fillId="0" borderId="40" xfId="1" applyNumberFormat="1" applyFont="1" applyBorder="1" applyAlignment="1" applyProtection="1">
      <alignment vertical="center"/>
    </xf>
    <xf numFmtId="164" fontId="16" fillId="0" borderId="0" xfId="1" applyNumberFormat="1" applyFont="1" applyBorder="1" applyAlignment="1" applyProtection="1">
      <alignment vertical="center"/>
    </xf>
    <xf numFmtId="164" fontId="6" fillId="0" borderId="40" xfId="1" applyNumberFormat="1" applyFont="1" applyBorder="1" applyAlignment="1" applyProtection="1">
      <alignment vertical="center"/>
    </xf>
    <xf numFmtId="164" fontId="6" fillId="0" borderId="0" xfId="1" applyNumberFormat="1" applyFont="1" applyBorder="1" applyAlignment="1" applyProtection="1">
      <alignment vertical="center"/>
    </xf>
    <xf numFmtId="164" fontId="6" fillId="0" borderId="41" xfId="1" applyNumberFormat="1" applyFont="1" applyBorder="1" applyAlignment="1" applyProtection="1">
      <alignment vertical="center"/>
    </xf>
    <xf numFmtId="164" fontId="7" fillId="0" borderId="0" xfId="1" applyNumberFormat="1" applyFont="1" applyBorder="1" applyAlignment="1" applyProtection="1">
      <alignment horizontal="left" vertical="center"/>
    </xf>
    <xf numFmtId="164" fontId="16" fillId="0" borderId="42" xfId="1" applyNumberFormat="1" applyFont="1" applyBorder="1" applyAlignment="1" applyProtection="1">
      <alignment vertical="center"/>
    </xf>
    <xf numFmtId="164" fontId="16" fillId="0" borderId="9" xfId="1" applyNumberFormat="1" applyFont="1" applyBorder="1" applyAlignment="1" applyProtection="1">
      <alignment vertical="center"/>
    </xf>
    <xf numFmtId="164" fontId="6" fillId="0" borderId="43" xfId="1" applyNumberFormat="1" applyFont="1" applyBorder="1" applyAlignment="1" applyProtection="1">
      <alignment vertical="center"/>
    </xf>
    <xf numFmtId="0" fontId="8" fillId="0" borderId="0" xfId="1" applyNumberFormat="1" applyFont="1" applyBorder="1" applyAlignment="1" applyProtection="1">
      <alignment horizontal="left" vertical="center"/>
    </xf>
    <xf numFmtId="164" fontId="8" fillId="0" borderId="43" xfId="1" applyNumberFormat="1" applyFont="1" applyBorder="1" applyAlignment="1" applyProtection="1">
      <alignment vertical="center"/>
    </xf>
    <xf numFmtId="164" fontId="16" fillId="0" borderId="44" xfId="1" applyNumberFormat="1" applyFont="1" applyBorder="1" applyAlignment="1" applyProtection="1">
      <alignment vertical="center"/>
    </xf>
    <xf numFmtId="164" fontId="8" fillId="0" borderId="0" xfId="1" applyNumberFormat="1" applyFont="1" applyBorder="1" applyAlignment="1" applyProtection="1">
      <alignment vertical="center"/>
    </xf>
    <xf numFmtId="0" fontId="4" fillId="0" borderId="0" xfId="1" applyFont="1" applyFill="1" applyAlignment="1" applyProtection="1">
      <alignment horizontal="right"/>
    </xf>
    <xf numFmtId="164" fontId="6" fillId="0" borderId="35" xfId="1" applyNumberFormat="1" applyFont="1" applyBorder="1" applyAlignment="1" applyProtection="1">
      <alignment horizontal="right" vertical="center"/>
    </xf>
    <xf numFmtId="2" fontId="16" fillId="0" borderId="18" xfId="1" applyNumberFormat="1" applyFont="1" applyBorder="1" applyAlignment="1" applyProtection="1">
      <alignment horizontal="center" vertical="center"/>
    </xf>
    <xf numFmtId="0" fontId="6" fillId="0" borderId="8" xfId="1" applyFont="1" applyBorder="1" applyAlignment="1" applyProtection="1">
      <alignment horizontal="left"/>
    </xf>
    <xf numFmtId="164" fontId="6" fillId="0" borderId="19" xfId="1" applyNumberFormat="1" applyFont="1" applyBorder="1" applyAlignment="1" applyProtection="1">
      <alignment horizontal="left" vertical="center"/>
    </xf>
    <xf numFmtId="0" fontId="6" fillId="0" borderId="7" xfId="1" applyFont="1" applyBorder="1" applyAlignment="1" applyProtection="1">
      <alignment horizontal="right" vertical="center"/>
    </xf>
    <xf numFmtId="0" fontId="6" fillId="0" borderId="6" xfId="1" applyNumberFormat="1" applyFont="1" applyBorder="1" applyAlignment="1" applyProtection="1">
      <alignment horizontal="right" vertical="center"/>
    </xf>
    <xf numFmtId="0" fontId="6" fillId="0" borderId="8" xfId="1" applyFont="1" applyBorder="1" applyAlignment="1" applyProtection="1">
      <alignment horizontal="right" vertical="center"/>
    </xf>
    <xf numFmtId="0" fontId="6" fillId="0" borderId="17" xfId="1" applyFont="1" applyBorder="1" applyAlignment="1" applyProtection="1">
      <alignment horizontal="left"/>
    </xf>
    <xf numFmtId="9" fontId="6" fillId="0" borderId="20" xfId="1" applyNumberFormat="1" applyFont="1" applyBorder="1" applyAlignment="1" applyProtection="1">
      <alignment horizontal="right" vertical="center"/>
    </xf>
    <xf numFmtId="9" fontId="6" fillId="0" borderId="16" xfId="1" applyNumberFormat="1" applyFont="1" applyBorder="1" applyAlignment="1" applyProtection="1">
      <alignment horizontal="right" vertical="center"/>
    </xf>
    <xf numFmtId="0" fontId="6" fillId="0" borderId="1" xfId="1" applyNumberFormat="1" applyFont="1" applyBorder="1" applyAlignment="1" applyProtection="1">
      <alignment horizontal="right" vertical="center"/>
    </xf>
    <xf numFmtId="9" fontId="6" fillId="0" borderId="17" xfId="1" applyNumberFormat="1" applyFont="1" applyBorder="1" applyAlignment="1" applyProtection="1">
      <alignment horizontal="right" vertical="center"/>
    </xf>
    <xf numFmtId="0" fontId="16" fillId="0" borderId="0" xfId="1" applyNumberFormat="1" applyFont="1" applyBorder="1" applyAlignment="1" applyProtection="1">
      <alignment horizontal="left" vertical="center"/>
    </xf>
    <xf numFmtId="0" fontId="4" fillId="0" borderId="0" xfId="1" applyNumberFormat="1" applyFont="1" applyProtection="1"/>
    <xf numFmtId="14" fontId="4" fillId="4" borderId="0" xfId="1" applyNumberFormat="1" applyFont="1" applyFill="1" applyAlignment="1" applyProtection="1">
      <alignment horizontal="center"/>
    </xf>
    <xf numFmtId="0" fontId="0" fillId="4" borderId="0" xfId="0" applyFill="1" applyAlignment="1" applyProtection="1">
      <alignment horizontal="center"/>
    </xf>
    <xf numFmtId="0" fontId="15" fillId="5" borderId="0" xfId="1" applyFont="1" applyFill="1" applyAlignment="1" applyProtection="1">
      <alignment horizontal="right"/>
    </xf>
    <xf numFmtId="0" fontId="15" fillId="5" borderId="0" xfId="1" applyFont="1" applyFill="1" applyProtection="1"/>
    <xf numFmtId="0" fontId="4" fillId="5" borderId="0" xfId="1" applyFont="1" applyFill="1" applyProtection="1"/>
    <xf numFmtId="0" fontId="3" fillId="0" borderId="0" xfId="0" applyFont="1" applyProtection="1"/>
    <xf numFmtId="0" fontId="17" fillId="0" borderId="0" xfId="0" applyFont="1" applyAlignment="1" applyProtection="1">
      <alignment vertical="center"/>
    </xf>
    <xf numFmtId="14" fontId="17" fillId="0" borderId="0" xfId="1" applyNumberFormat="1" applyFont="1" applyAlignment="1" applyProtection="1">
      <alignment horizontal="left" vertical="center"/>
    </xf>
    <xf numFmtId="0" fontId="17" fillId="0" borderId="0" xfId="1" applyFont="1" applyAlignment="1" applyProtection="1">
      <alignment vertical="center"/>
    </xf>
    <xf numFmtId="14" fontId="3" fillId="0" borderId="0" xfId="1" applyNumberFormat="1" applyFont="1" applyAlignment="1" applyProtection="1">
      <alignment horizontal="left" vertical="center"/>
    </xf>
    <xf numFmtId="0" fontId="10" fillId="0" borderId="9" xfId="1" applyBorder="1" applyAlignment="1" applyProtection="1">
      <alignment horizontal="left" vertical="center"/>
    </xf>
    <xf numFmtId="0" fontId="16" fillId="0" borderId="6" xfId="1" applyFont="1" applyBorder="1" applyAlignment="1" applyProtection="1">
      <alignment horizontal="left" vertical="center"/>
    </xf>
    <xf numFmtId="0" fontId="7" fillId="0" borderId="7" xfId="1" applyFont="1" applyBorder="1" applyAlignment="1" applyProtection="1">
      <alignment horizontal="left" vertical="center"/>
    </xf>
    <xf numFmtId="0" fontId="8" fillId="0" borderId="7" xfId="1" applyFont="1" applyBorder="1" applyAlignment="1" applyProtection="1">
      <alignment horizontal="left" vertical="center"/>
    </xf>
    <xf numFmtId="0" fontId="8" fillId="0" borderId="6" xfId="1" applyFont="1" applyBorder="1" applyAlignment="1" applyProtection="1">
      <alignment horizontal="left" vertical="center"/>
    </xf>
    <xf numFmtId="0" fontId="11" fillId="0" borderId="7" xfId="1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left" vertical="center"/>
    </xf>
    <xf numFmtId="0" fontId="16" fillId="0" borderId="6" xfId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left" vertical="center"/>
    </xf>
    <xf numFmtId="164" fontId="8" fillId="0" borderId="42" xfId="1" applyNumberFormat="1" applyFont="1" applyBorder="1" applyAlignment="1" applyProtection="1">
      <alignment vertical="center"/>
    </xf>
    <xf numFmtId="164" fontId="6" fillId="0" borderId="42" xfId="1" applyNumberFormat="1" applyFont="1" applyBorder="1" applyAlignment="1" applyProtection="1">
      <alignment vertical="center"/>
    </xf>
    <xf numFmtId="164" fontId="16" fillId="0" borderId="0" xfId="1" applyNumberFormat="1" applyFont="1" applyBorder="1" applyAlignment="1" applyProtection="1">
      <alignment horizontal="right" vertical="center"/>
    </xf>
    <xf numFmtId="164" fontId="7" fillId="0" borderId="30" xfId="1" applyNumberFormat="1" applyFont="1" applyBorder="1" applyAlignment="1" applyProtection="1">
      <alignment horizontal="left" vertical="center"/>
    </xf>
    <xf numFmtId="0" fontId="6" fillId="0" borderId="8" xfId="1" applyFont="1" applyBorder="1" applyAlignment="1" applyProtection="1">
      <alignment horizontal="left" vertical="center"/>
    </xf>
    <xf numFmtId="0" fontId="3" fillId="0" borderId="6" xfId="1" applyNumberFormat="1" applyFont="1" applyBorder="1" applyAlignment="1" applyProtection="1">
      <alignment horizontal="left" vertical="center"/>
    </xf>
    <xf numFmtId="164" fontId="4" fillId="0" borderId="7" xfId="1" applyNumberFormat="1" applyFont="1" applyBorder="1" applyAlignment="1" applyProtection="1">
      <alignment horizontal="right" vertical="center"/>
    </xf>
    <xf numFmtId="164" fontId="6" fillId="0" borderId="7" xfId="1" applyNumberFormat="1" applyFont="1" applyBorder="1" applyAlignment="1" applyProtection="1">
      <alignment horizontal="right" vertical="center"/>
    </xf>
    <xf numFmtId="2" fontId="16" fillId="0" borderId="45" xfId="1" applyNumberFormat="1" applyFont="1" applyBorder="1" applyAlignment="1" applyProtection="1">
      <alignment horizontal="left" vertical="center"/>
    </xf>
    <xf numFmtId="0" fontId="16" fillId="0" borderId="8" xfId="1" applyFont="1" applyBorder="1" applyAlignment="1" applyProtection="1">
      <alignment horizontal="center" vertical="center"/>
    </xf>
    <xf numFmtId="0" fontId="3" fillId="0" borderId="23" xfId="1" applyNumberFormat="1" applyFont="1" applyBorder="1" applyAlignment="1" applyProtection="1">
      <alignment horizontal="left" vertical="center"/>
    </xf>
    <xf numFmtId="0" fontId="3" fillId="0" borderId="0" xfId="1" applyFont="1" applyBorder="1" applyAlignment="1" applyProtection="1">
      <alignment horizontal="center" vertical="center"/>
    </xf>
    <xf numFmtId="0" fontId="3" fillId="9" borderId="0" xfId="1" applyFont="1" applyFill="1" applyBorder="1" applyAlignment="1" applyProtection="1">
      <alignment horizontal="center" vertical="center"/>
    </xf>
    <xf numFmtId="0" fontId="6" fillId="0" borderId="11" xfId="1" applyFont="1" applyBorder="1" applyAlignment="1" applyProtection="1">
      <alignment horizontal="left" vertical="center"/>
    </xf>
    <xf numFmtId="0" fontId="3" fillId="0" borderId="18" xfId="1" applyNumberFormat="1" applyFont="1" applyBorder="1" applyAlignment="1" applyProtection="1">
      <alignment horizontal="left" vertical="center"/>
    </xf>
    <xf numFmtId="0" fontId="4" fillId="0" borderId="10" xfId="1" applyNumberFormat="1" applyFont="1" applyBorder="1" applyAlignment="1" applyProtection="1">
      <alignment horizontal="right" vertical="center"/>
    </xf>
    <xf numFmtId="164" fontId="6" fillId="0" borderId="10" xfId="1" applyNumberFormat="1" applyFont="1" applyBorder="1" applyAlignment="1" applyProtection="1">
      <alignment horizontal="right" vertical="center"/>
    </xf>
    <xf numFmtId="2" fontId="16" fillId="0" borderId="24" xfId="1" applyNumberFormat="1" applyFont="1" applyBorder="1" applyAlignment="1" applyProtection="1">
      <alignment horizontal="left" vertical="center"/>
    </xf>
    <xf numFmtId="2" fontId="3" fillId="0" borderId="18" xfId="1" applyNumberFormat="1" applyFont="1" applyBorder="1" applyAlignment="1" applyProtection="1">
      <alignment horizontal="left" vertical="center"/>
    </xf>
    <xf numFmtId="0" fontId="16" fillId="0" borderId="28" xfId="1" applyFont="1" applyBorder="1" applyAlignment="1" applyProtection="1">
      <alignment horizontal="center" vertical="center"/>
    </xf>
    <xf numFmtId="2" fontId="3" fillId="0" borderId="18" xfId="1" applyNumberFormat="1" applyFont="1" applyBorder="1" applyAlignment="1" applyProtection="1">
      <alignment vertical="center"/>
    </xf>
    <xf numFmtId="2" fontId="3" fillId="0" borderId="31" xfId="1" applyNumberFormat="1" applyFont="1" applyBorder="1" applyAlignment="1" applyProtection="1">
      <alignment vertical="center"/>
    </xf>
    <xf numFmtId="2" fontId="3" fillId="0" borderId="32" xfId="1" applyNumberFormat="1" applyFont="1" applyBorder="1" applyAlignment="1" applyProtection="1">
      <alignment vertical="center"/>
    </xf>
    <xf numFmtId="0" fontId="6" fillId="0" borderId="11" xfId="1" applyNumberFormat="1" applyFont="1" applyBorder="1" applyAlignment="1" applyProtection="1">
      <alignment horizontal="left" vertical="center"/>
    </xf>
    <xf numFmtId="0" fontId="6" fillId="0" borderId="10" xfId="1" applyNumberFormat="1" applyFont="1" applyBorder="1" applyAlignment="1" applyProtection="1">
      <alignment horizontal="right" vertical="center"/>
    </xf>
    <xf numFmtId="0" fontId="3" fillId="0" borderId="32" xfId="1" applyNumberFormat="1" applyFont="1" applyBorder="1" applyAlignment="1" applyProtection="1">
      <alignment vertical="center"/>
    </xf>
    <xf numFmtId="2" fontId="16" fillId="0" borderId="46" xfId="1" applyNumberFormat="1" applyFont="1" applyBorder="1" applyAlignment="1" applyProtection="1">
      <alignment horizontal="left" vertical="center"/>
    </xf>
    <xf numFmtId="0" fontId="6" fillId="0" borderId="6" xfId="1" applyFont="1" applyBorder="1" applyAlignment="1" applyProtection="1">
      <alignment horizontal="center" vertical="center"/>
    </xf>
    <xf numFmtId="164" fontId="4" fillId="0" borderId="6" xfId="1" applyNumberFormat="1" applyFont="1" applyBorder="1" applyAlignment="1" applyProtection="1">
      <alignment horizontal="left" vertical="center"/>
    </xf>
    <xf numFmtId="0" fontId="4" fillId="0" borderId="7" xfId="1" applyFont="1" applyBorder="1" applyAlignment="1" applyProtection="1">
      <alignment horizontal="right" vertical="center"/>
    </xf>
    <xf numFmtId="164" fontId="8" fillId="0" borderId="6" xfId="1" applyNumberFormat="1" applyFont="1" applyBorder="1" applyAlignment="1" applyProtection="1">
      <alignment horizontal="left" vertical="center"/>
    </xf>
    <xf numFmtId="164" fontId="4" fillId="0" borderId="4" xfId="1" applyNumberFormat="1" applyFont="1" applyBorder="1" applyAlignment="1" applyProtection="1">
      <alignment horizontal="left" vertical="center"/>
    </xf>
    <xf numFmtId="0" fontId="6" fillId="0" borderId="17" xfId="1" applyFont="1" applyBorder="1" applyAlignment="1" applyProtection="1">
      <alignment horizontal="left" vertical="center"/>
    </xf>
    <xf numFmtId="9" fontId="4" fillId="0" borderId="1" xfId="1" applyNumberFormat="1" applyFont="1" applyBorder="1" applyAlignment="1" applyProtection="1">
      <alignment horizontal="right" vertical="center"/>
    </xf>
    <xf numFmtId="9" fontId="4" fillId="0" borderId="16" xfId="1" applyNumberFormat="1" applyFont="1" applyBorder="1" applyAlignment="1" applyProtection="1">
      <alignment horizontal="right" vertical="center"/>
    </xf>
    <xf numFmtId="9" fontId="8" fillId="0" borderId="1" xfId="1" applyNumberFormat="1" applyFont="1" applyBorder="1" applyAlignment="1" applyProtection="1">
      <alignment horizontal="right" vertical="center"/>
    </xf>
    <xf numFmtId="9" fontId="4" fillId="0" borderId="30" xfId="1" applyNumberFormat="1" applyFont="1" applyBorder="1" applyAlignment="1" applyProtection="1">
      <alignment horizontal="right" vertical="center"/>
    </xf>
    <xf numFmtId="0" fontId="23" fillId="0" borderId="0" xfId="0" applyFont="1" applyAlignment="1" applyProtection="1">
      <alignment vertical="center"/>
    </xf>
    <xf numFmtId="0" fontId="3" fillId="10" borderId="0" xfId="1" applyFont="1" applyFill="1" applyAlignment="1" applyProtection="1">
      <alignment horizontal="left" vertical="center"/>
    </xf>
    <xf numFmtId="0" fontId="3" fillId="0" borderId="0" xfId="1" applyFont="1" applyAlignment="1" applyProtection="1">
      <alignment horizontal="left" vertical="center"/>
    </xf>
    <xf numFmtId="0" fontId="1" fillId="0" borderId="0" xfId="1" applyFont="1" applyAlignment="1" applyProtection="1">
      <alignment horizontal="left" vertical="center"/>
    </xf>
    <xf numFmtId="0" fontId="3" fillId="3" borderId="0" xfId="1" applyFont="1" applyFill="1" applyAlignment="1" applyProtection="1">
      <alignment horizontal="left" vertical="center"/>
    </xf>
    <xf numFmtId="0" fontId="3" fillId="8" borderId="0" xfId="0" applyFont="1" applyFill="1" applyAlignment="1" applyProtection="1">
      <alignment horizontal="center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Fill="1" applyAlignment="1" applyProtection="1">
      <alignment textRotation="90"/>
      <protection locked="0"/>
    </xf>
    <xf numFmtId="0" fontId="0" fillId="0" borderId="0" xfId="0" applyFill="1" applyAlignment="1" applyProtection="1">
      <alignment textRotation="90"/>
    </xf>
    <xf numFmtId="0" fontId="0" fillId="0" borderId="0" xfId="0" applyNumberFormat="1" applyAlignment="1" applyProtection="1">
      <alignment horizontal="center"/>
    </xf>
    <xf numFmtId="0" fontId="0" fillId="2" borderId="0" xfId="0" applyFill="1" applyAlignment="1" applyProtection="1">
      <alignment horizontal="center"/>
      <protection locked="0"/>
    </xf>
    <xf numFmtId="0" fontId="15" fillId="4" borderId="0" xfId="0" applyFont="1" applyFill="1" applyProtection="1"/>
    <xf numFmtId="0" fontId="0" fillId="0" borderId="0" xfId="0" quotePrefix="1" applyFill="1" applyAlignment="1" applyProtection="1">
      <alignment horizontal="center" vertical="center" textRotation="90"/>
    </xf>
    <xf numFmtId="0" fontId="15" fillId="5" borderId="0" xfId="0" applyFont="1" applyFill="1" applyProtection="1">
      <protection locked="0"/>
    </xf>
    <xf numFmtId="0" fontId="0" fillId="5" borderId="0" xfId="0" applyFill="1" applyProtection="1">
      <protection locked="0"/>
    </xf>
    <xf numFmtId="0" fontId="17" fillId="0" borderId="0" xfId="0" applyFont="1" applyProtection="1">
      <protection locked="0"/>
    </xf>
    <xf numFmtId="14" fontId="3" fillId="0" borderId="0" xfId="0" applyNumberFormat="1" applyFont="1" applyAlignment="1" applyProtection="1">
      <alignment horizontal="right"/>
      <protection locked="0"/>
    </xf>
    <xf numFmtId="14" fontId="3" fillId="0" borderId="0" xfId="0" applyNumberFormat="1" applyFont="1" applyProtection="1">
      <protection locked="0"/>
    </xf>
    <xf numFmtId="0" fontId="24" fillId="0" borderId="0" xfId="0" applyFont="1" applyProtection="1">
      <protection locked="0"/>
    </xf>
    <xf numFmtId="0" fontId="25" fillId="0" borderId="0" xfId="0" applyFont="1" applyProtection="1">
      <protection locked="0"/>
    </xf>
    <xf numFmtId="0" fontId="26" fillId="0" borderId="0" xfId="0" applyFont="1" applyProtection="1">
      <protection locked="0"/>
    </xf>
    <xf numFmtId="0" fontId="17" fillId="0" borderId="0" xfId="0" applyNumberFormat="1" applyFont="1" applyProtection="1">
      <protection locked="0"/>
    </xf>
    <xf numFmtId="0" fontId="3" fillId="0" borderId="47" xfId="0" applyFont="1" applyBorder="1" applyProtection="1">
      <protection locked="0"/>
    </xf>
    <xf numFmtId="0" fontId="0" fillId="0" borderId="47" xfId="0" applyBorder="1" applyProtection="1">
      <protection locked="0"/>
    </xf>
    <xf numFmtId="0" fontId="17" fillId="0" borderId="47" xfId="0" applyFont="1" applyBorder="1" applyAlignment="1" applyProtection="1">
      <alignment horizontal="center"/>
      <protection locked="0"/>
    </xf>
    <xf numFmtId="0" fontId="3" fillId="0" borderId="4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48" xfId="0" applyFont="1" applyBorder="1" applyProtection="1">
      <protection locked="0"/>
    </xf>
    <xf numFmtId="0" fontId="0" fillId="0" borderId="48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33" fillId="4" borderId="0" xfId="0" applyFont="1" applyFill="1" applyProtection="1">
      <protection locked="0"/>
    </xf>
    <xf numFmtId="0" fontId="3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3" fillId="0" borderId="0" xfId="0" applyFont="1" applyFill="1" applyBorder="1" applyProtection="1">
      <protection locked="0"/>
    </xf>
    <xf numFmtId="0" fontId="19" fillId="0" borderId="0" xfId="0" applyFont="1" applyProtection="1">
      <protection locked="0"/>
    </xf>
    <xf numFmtId="0" fontId="34" fillId="0" borderId="0" xfId="0" applyFont="1" applyProtection="1"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4" fillId="2" borderId="0" xfId="0" applyFont="1" applyFill="1" applyAlignment="1" applyProtection="1">
      <alignment horizontal="center"/>
      <protection locked="0"/>
    </xf>
    <xf numFmtId="0" fontId="7" fillId="0" borderId="12" xfId="1" applyFont="1" applyBorder="1" applyAlignment="1" applyProtection="1">
      <alignment horizontal="left" vertical="center"/>
    </xf>
    <xf numFmtId="0" fontId="16" fillId="0" borderId="19" xfId="1" applyNumberFormat="1" applyFont="1" applyBorder="1" applyAlignment="1" applyProtection="1">
      <alignment horizontal="left" vertical="center"/>
    </xf>
    <xf numFmtId="0" fontId="6" fillId="0" borderId="34" xfId="1" applyNumberFormat="1" applyFont="1" applyBorder="1" applyAlignment="1" applyProtection="1">
      <alignment horizontal="left" vertical="center"/>
    </xf>
    <xf numFmtId="164" fontId="7" fillId="0" borderId="25" xfId="1" applyNumberFormat="1" applyFont="1" applyBorder="1" applyAlignment="1" applyProtection="1">
      <alignment horizontal="left" vertical="center"/>
    </xf>
    <xf numFmtId="0" fontId="7" fillId="0" borderId="23" xfId="1" applyNumberFormat="1" applyFont="1" applyBorder="1" applyAlignment="1" applyProtection="1">
      <alignment horizontal="left" vertical="center"/>
    </xf>
    <xf numFmtId="164" fontId="6" fillId="0" borderId="8" xfId="1" applyNumberFormat="1" applyFont="1" applyBorder="1" applyAlignment="1" applyProtection="1">
      <alignment horizontal="right" vertical="center"/>
    </xf>
    <xf numFmtId="164" fontId="16" fillId="0" borderId="12" xfId="1" applyNumberFormat="1" applyFont="1" applyBorder="1" applyAlignment="1" applyProtection="1">
      <alignment horizontal="right" vertical="center"/>
    </xf>
    <xf numFmtId="0" fontId="16" fillId="0" borderId="2" xfId="1" applyNumberFormat="1" applyFont="1" applyBorder="1" applyAlignment="1" applyProtection="1">
      <alignment horizontal="left" vertical="center"/>
    </xf>
    <xf numFmtId="0" fontId="16" fillId="0" borderId="36" xfId="1" applyNumberFormat="1" applyFont="1" applyBorder="1" applyAlignment="1" applyProtection="1">
      <alignment horizontal="left" vertical="center"/>
    </xf>
    <xf numFmtId="164" fontId="6" fillId="0" borderId="12" xfId="1" applyNumberFormat="1" applyFont="1" applyBorder="1" applyAlignment="1" applyProtection="1">
      <alignment horizontal="right" vertical="center"/>
    </xf>
    <xf numFmtId="0" fontId="16" fillId="0" borderId="6" xfId="1" applyNumberFormat="1" applyFont="1" applyBorder="1" applyAlignment="1" applyProtection="1">
      <alignment horizontal="left" vertical="center"/>
    </xf>
    <xf numFmtId="0" fontId="16" fillId="0" borderId="26" xfId="1" applyNumberFormat="1" applyFont="1" applyBorder="1" applyAlignment="1" applyProtection="1">
      <alignment horizontal="center" vertical="center"/>
    </xf>
    <xf numFmtId="0" fontId="6" fillId="0" borderId="11" xfId="1" applyFont="1" applyBorder="1" applyAlignment="1" applyProtection="1">
      <alignment horizontal="left"/>
    </xf>
    <xf numFmtId="0" fontId="16" fillId="0" borderId="29" xfId="1" applyNumberFormat="1" applyFont="1" applyBorder="1" applyAlignment="1" applyProtection="1">
      <alignment horizontal="left" vertical="center"/>
    </xf>
    <xf numFmtId="0" fontId="6" fillId="0" borderId="26" xfId="1" applyNumberFormat="1" applyFont="1" applyBorder="1" applyAlignment="1" applyProtection="1">
      <alignment horizontal="right" vertical="center"/>
    </xf>
    <xf numFmtId="164" fontId="6" fillId="0" borderId="18" xfId="1" applyNumberFormat="1" applyFont="1" applyBorder="1" applyAlignment="1" applyProtection="1">
      <alignment horizontal="right" vertical="center"/>
    </xf>
    <xf numFmtId="0" fontId="6" fillId="0" borderId="18" xfId="1" applyNumberFormat="1" applyFont="1" applyBorder="1" applyAlignment="1" applyProtection="1">
      <alignment horizontal="left" vertical="center"/>
    </xf>
    <xf numFmtId="164" fontId="7" fillId="0" borderId="24" xfId="1" applyNumberFormat="1" applyFont="1" applyBorder="1" applyAlignment="1" applyProtection="1">
      <alignment horizontal="left" vertical="center"/>
    </xf>
    <xf numFmtId="0" fontId="7" fillId="0" borderId="18" xfId="1" applyNumberFormat="1" applyFont="1" applyBorder="1" applyAlignment="1" applyProtection="1">
      <alignment horizontal="left" vertical="center"/>
    </xf>
    <xf numFmtId="164" fontId="6" fillId="0" borderId="11" xfId="1" applyNumberFormat="1" applyFont="1" applyBorder="1" applyAlignment="1" applyProtection="1">
      <alignment horizontal="right" vertical="center"/>
    </xf>
    <xf numFmtId="164" fontId="16" fillId="0" borderId="37" xfId="1" applyNumberFormat="1" applyFont="1" applyBorder="1" applyAlignment="1" applyProtection="1">
      <alignment horizontal="right" vertical="center"/>
    </xf>
    <xf numFmtId="0" fontId="16" fillId="0" borderId="38" xfId="1" applyNumberFormat="1" applyFont="1" applyBorder="1" applyAlignment="1" applyProtection="1">
      <alignment horizontal="left" vertical="center"/>
    </xf>
    <xf numFmtId="0" fontId="16" fillId="0" borderId="26" xfId="1" applyNumberFormat="1" applyFont="1" applyBorder="1" applyAlignment="1" applyProtection="1">
      <alignment horizontal="left" vertical="center"/>
    </xf>
    <xf numFmtId="164" fontId="6" fillId="0" borderId="37" xfId="1" applyNumberFormat="1" applyFont="1" applyBorder="1" applyAlignment="1" applyProtection="1">
      <alignment horizontal="right" vertical="center"/>
    </xf>
    <xf numFmtId="0" fontId="6" fillId="0" borderId="11" xfId="1" applyNumberFormat="1" applyFont="1" applyBorder="1" applyAlignment="1" applyProtection="1">
      <alignment horizontal="left"/>
    </xf>
    <xf numFmtId="0" fontId="16" fillId="0" borderId="10" xfId="1" applyNumberFormat="1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0" fillId="0" borderId="49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2" fillId="5" borderId="6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5" borderId="0" xfId="0" applyFill="1" applyBorder="1" applyAlignment="1" applyProtection="1">
      <alignment horizontal="center" vertical="center"/>
      <protection locked="0"/>
    </xf>
    <xf numFmtId="0" fontId="2" fillId="5" borderId="43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  <protection locked="0"/>
    </xf>
    <xf numFmtId="0" fontId="3" fillId="4" borderId="35" xfId="0" applyFont="1" applyFill="1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0" fontId="0" fillId="0" borderId="32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54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11" borderId="8" xfId="0" applyNumberFormat="1" applyFill="1" applyBorder="1" applyAlignment="1" applyProtection="1">
      <alignment horizontal="center" vertical="center"/>
      <protection locked="0"/>
    </xf>
    <xf numFmtId="0" fontId="0" fillId="4" borderId="49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3" fillId="5" borderId="6" xfId="0" applyFont="1" applyFill="1" applyBorder="1" applyAlignment="1" applyProtection="1">
      <alignment horizontal="center" vertical="center"/>
      <protection locked="0"/>
    </xf>
    <xf numFmtId="0" fontId="0" fillId="5" borderId="12" xfId="0" quotePrefix="1" applyFill="1" applyBorder="1" applyAlignment="1" applyProtection="1">
      <alignment horizontal="center" vertical="center"/>
      <protection locked="0"/>
    </xf>
    <xf numFmtId="0" fontId="0" fillId="5" borderId="55" xfId="0" applyFill="1" applyBorder="1" applyAlignment="1" applyProtection="1">
      <alignment horizontal="center" vertical="center"/>
      <protection locked="0"/>
    </xf>
    <xf numFmtId="164" fontId="6" fillId="0" borderId="13" xfId="0" applyNumberFormat="1" applyFont="1" applyBorder="1" applyAlignment="1" applyProtection="1">
      <alignment horizontal="center" vertical="center"/>
      <protection locked="0"/>
    </xf>
    <xf numFmtId="164" fontId="5" fillId="0" borderId="12" xfId="0" applyNumberFormat="1" applyFont="1" applyBorder="1" applyAlignment="1" applyProtection="1">
      <alignment horizontal="center" vertical="center"/>
      <protection locked="0"/>
    </xf>
    <xf numFmtId="164" fontId="5" fillId="0" borderId="6" xfId="0" applyNumberFormat="1" applyFont="1" applyBorder="1" applyAlignment="1" applyProtection="1">
      <alignment horizontal="center" vertical="center"/>
      <protection locked="0"/>
    </xf>
    <xf numFmtId="0" fontId="0" fillId="11" borderId="9" xfId="0" applyNumberFormat="1" applyFill="1" applyBorder="1" applyAlignment="1" applyProtection="1">
      <alignment horizontal="center" vertical="center"/>
      <protection locked="0"/>
    </xf>
    <xf numFmtId="0" fontId="0" fillId="4" borderId="50" xfId="0" applyFill="1" applyBorder="1" applyAlignment="1" applyProtection="1">
      <alignment horizontal="center" vertical="center"/>
      <protection locked="0"/>
    </xf>
    <xf numFmtId="0" fontId="0" fillId="10" borderId="0" xfId="0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  <protection locked="0"/>
    </xf>
    <xf numFmtId="0" fontId="1" fillId="0" borderId="56" xfId="0" applyFont="1" applyBorder="1" applyAlignment="1" applyProtection="1">
      <alignment horizontal="center" vertical="center"/>
      <protection locked="0"/>
    </xf>
    <xf numFmtId="164" fontId="6" fillId="0" borderId="41" xfId="0" applyNumberFormat="1" applyFont="1" applyBorder="1" applyAlignment="1" applyProtection="1">
      <alignment horizontal="center" vertical="center"/>
      <protection locked="0"/>
    </xf>
    <xf numFmtId="164" fontId="5" fillId="0" borderId="43" xfId="0" applyNumberFormat="1" applyFont="1" applyBorder="1" applyAlignment="1" applyProtection="1">
      <alignment horizontal="center" vertical="center"/>
      <protection locked="0"/>
    </xf>
    <xf numFmtId="164" fontId="5" fillId="0" borderId="0" xfId="0" applyNumberFormat="1" applyFont="1" applyBorder="1" applyAlignment="1" applyProtection="1">
      <alignment horizontal="center" vertical="center"/>
      <protection locked="0"/>
    </xf>
    <xf numFmtId="0" fontId="0" fillId="11" borderId="57" xfId="0" applyFill="1" applyBorder="1" applyAlignment="1" applyProtection="1">
      <alignment horizontal="center" vertical="center"/>
      <protection locked="0"/>
    </xf>
    <xf numFmtId="0" fontId="0" fillId="4" borderId="58" xfId="0" applyFill="1" applyBorder="1" applyAlignment="1" applyProtection="1">
      <alignment horizontal="center" vertical="center"/>
      <protection locked="0"/>
    </xf>
    <xf numFmtId="0" fontId="0" fillId="5" borderId="59" xfId="0" applyFill="1" applyBorder="1" applyAlignment="1" applyProtection="1">
      <alignment horizontal="center" vertical="center"/>
      <protection locked="0"/>
    </xf>
    <xf numFmtId="0" fontId="3" fillId="5" borderId="59" xfId="0" applyFont="1" applyFill="1" applyBorder="1" applyAlignment="1" applyProtection="1">
      <alignment horizontal="center" vertical="center"/>
      <protection locked="0"/>
    </xf>
    <xf numFmtId="0" fontId="0" fillId="5" borderId="60" xfId="0" applyFill="1" applyBorder="1" applyAlignment="1" applyProtection="1">
      <alignment horizontal="center" vertical="center"/>
      <protection locked="0"/>
    </xf>
    <xf numFmtId="0" fontId="0" fillId="5" borderId="61" xfId="0" quotePrefix="1" applyFill="1" applyBorder="1" applyAlignment="1" applyProtection="1">
      <alignment horizontal="center" vertical="center"/>
      <protection locked="0"/>
    </xf>
    <xf numFmtId="164" fontId="6" fillId="0" borderId="62" xfId="0" applyNumberFormat="1" applyFont="1" applyBorder="1" applyAlignment="1" applyProtection="1">
      <alignment horizontal="center" vertical="center"/>
      <protection locked="0"/>
    </xf>
    <xf numFmtId="0" fontId="3" fillId="0" borderId="63" xfId="0" applyFont="1" applyFill="1" applyBorder="1" applyAlignment="1" applyProtection="1">
      <alignment horizontal="center" vertical="center"/>
      <protection locked="0"/>
    </xf>
    <xf numFmtId="164" fontId="5" fillId="0" borderId="60" xfId="0" applyNumberFormat="1" applyFont="1" applyBorder="1" applyAlignment="1" applyProtection="1">
      <alignment horizontal="center" vertical="center"/>
      <protection locked="0"/>
    </xf>
    <xf numFmtId="164" fontId="5" fillId="0" borderId="59" xfId="0" applyNumberFormat="1" applyFont="1" applyBorder="1" applyAlignment="1" applyProtection="1">
      <alignment horizontal="center" vertical="center"/>
      <protection locked="0"/>
    </xf>
    <xf numFmtId="0" fontId="3" fillId="0" borderId="64" xfId="0" applyFont="1" applyFill="1" applyBorder="1" applyAlignment="1" applyProtection="1">
      <alignment horizontal="center" vertical="center"/>
      <protection locked="0"/>
    </xf>
    <xf numFmtId="0" fontId="0" fillId="11" borderId="9" xfId="0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0" fillId="5" borderId="60" xfId="0" quotePrefix="1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3" fillId="5" borderId="0" xfId="0" applyFont="1" applyFill="1" applyBorder="1" applyAlignment="1" applyProtection="1">
      <alignment horizontal="center" vertical="center"/>
      <protection locked="0"/>
    </xf>
    <xf numFmtId="0" fontId="0" fillId="5" borderId="43" xfId="0" applyFill="1" applyBorder="1" applyAlignment="1" applyProtection="1">
      <alignment horizontal="center" vertical="center"/>
      <protection locked="0"/>
    </xf>
    <xf numFmtId="0" fontId="0" fillId="5" borderId="56" xfId="0" quotePrefix="1" applyFill="1" applyBorder="1" applyAlignment="1" applyProtection="1">
      <alignment horizontal="center" vertical="center"/>
      <protection locked="0"/>
    </xf>
    <xf numFmtId="0" fontId="3" fillId="11" borderId="3" xfId="0" applyFont="1" applyFill="1" applyBorder="1" applyAlignment="1" applyProtection="1">
      <alignment horizontal="center" vertical="center"/>
      <protection locked="0"/>
    </xf>
    <xf numFmtId="0" fontId="3" fillId="11" borderId="5" xfId="0" applyFont="1" applyFill="1" applyBorder="1" applyAlignment="1" applyProtection="1">
      <alignment horizontal="center" vertical="center"/>
      <protection locked="0"/>
    </xf>
    <xf numFmtId="0" fontId="0" fillId="10" borderId="59" xfId="0" applyFill="1" applyBorder="1" applyAlignment="1" applyProtection="1">
      <alignment horizontal="center" vertical="center"/>
      <protection locked="0"/>
    </xf>
    <xf numFmtId="0" fontId="3" fillId="0" borderId="59" xfId="0" applyFont="1" applyBorder="1" applyAlignment="1" applyProtection="1">
      <alignment horizontal="center" vertical="center"/>
      <protection locked="0"/>
    </xf>
    <xf numFmtId="0" fontId="1" fillId="0" borderId="60" xfId="0" applyFont="1" applyBorder="1" applyAlignment="1" applyProtection="1">
      <alignment horizontal="center" vertical="center"/>
      <protection locked="0"/>
    </xf>
    <xf numFmtId="0" fontId="1" fillId="0" borderId="61" xfId="0" applyFont="1" applyBorder="1" applyAlignment="1" applyProtection="1">
      <alignment horizontal="center" vertical="center"/>
      <protection locked="0"/>
    </xf>
    <xf numFmtId="0" fontId="0" fillId="5" borderId="43" xfId="0" quotePrefix="1" applyFill="1" applyBorder="1" applyAlignment="1" applyProtection="1">
      <alignment horizontal="center" vertical="center"/>
      <protection locked="0"/>
    </xf>
    <xf numFmtId="0" fontId="0" fillId="5" borderId="56" xfId="0" applyFill="1" applyBorder="1" applyAlignment="1" applyProtection="1">
      <alignment horizontal="center" vertical="center"/>
      <protection locked="0"/>
    </xf>
    <xf numFmtId="0" fontId="3" fillId="0" borderId="63" xfId="0" applyFont="1" applyBorder="1" applyAlignment="1" applyProtection="1">
      <alignment horizontal="center" vertical="center"/>
      <protection locked="0"/>
    </xf>
    <xf numFmtId="0" fontId="3" fillId="0" borderId="64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12" borderId="3" xfId="0" applyFont="1" applyFill="1" applyBorder="1" applyAlignment="1" applyProtection="1">
      <alignment horizontal="center" vertical="center"/>
      <protection locked="0"/>
    </xf>
    <xf numFmtId="0" fontId="3" fillId="12" borderId="5" xfId="0" applyFont="1" applyFill="1" applyBorder="1" applyAlignment="1" applyProtection="1">
      <alignment horizontal="center" vertical="center"/>
      <protection locked="0"/>
    </xf>
    <xf numFmtId="0" fontId="0" fillId="11" borderId="17" xfId="0" applyFill="1" applyBorder="1" applyAlignment="1" applyProtection="1">
      <alignment horizontal="center" vertical="center"/>
      <protection locked="0"/>
    </xf>
    <xf numFmtId="0" fontId="0" fillId="4" borderId="53" xfId="0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0" fontId="0" fillId="5" borderId="65" xfId="0" quotePrefix="1" applyFill="1" applyBorder="1" applyAlignment="1" applyProtection="1">
      <alignment horizontal="center" vertical="center"/>
      <protection locked="0"/>
    </xf>
    <xf numFmtId="164" fontId="4" fillId="0" borderId="15" xfId="0" applyNumberFormat="1" applyFont="1" applyBorder="1" applyAlignment="1" applyProtection="1">
      <alignment horizontal="center" vertical="center"/>
      <protection locked="0"/>
    </xf>
    <xf numFmtId="0" fontId="3" fillId="0" borderId="54" xfId="0" applyFont="1" applyBorder="1" applyAlignment="1" applyProtection="1">
      <alignment horizontal="center" vertical="center"/>
      <protection locked="0"/>
    </xf>
    <xf numFmtId="164" fontId="5" fillId="0" borderId="14" xfId="0" applyNumberFormat="1" applyFont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0" fontId="0" fillId="0" borderId="0" xfId="0" quotePrefix="1" applyAlignment="1" applyProtection="1">
      <alignment horizontal="center" vertical="center" textRotation="90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5" fillId="12" borderId="0" xfId="0" applyFont="1" applyFill="1" applyAlignment="1" applyProtection="1">
      <alignment horizontal="center" vertical="center"/>
      <protection locked="0"/>
    </xf>
    <xf numFmtId="0" fontId="5" fillId="11" borderId="0" xfId="0" applyFont="1" applyFill="1" applyAlignment="1" applyProtection="1">
      <alignment horizontal="center" vertical="center"/>
      <protection locked="0"/>
    </xf>
    <xf numFmtId="0" fontId="5" fillId="13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5" borderId="0" xfId="0" applyFont="1" applyFill="1" applyAlignment="1" applyProtection="1">
      <alignment horizontal="center" vertical="center"/>
      <protection locked="0"/>
    </xf>
    <xf numFmtId="0" fontId="5" fillId="5" borderId="0" xfId="0" applyFont="1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10" borderId="0" xfId="0" applyFill="1" applyAlignment="1" applyProtection="1">
      <alignment horizontal="center" vertical="center"/>
      <protection locked="0"/>
    </xf>
    <xf numFmtId="0" fontId="5" fillId="10" borderId="0" xfId="0" applyFont="1" applyFill="1" applyAlignment="1" applyProtection="1">
      <alignment horizontal="center" vertical="center"/>
      <protection locked="0"/>
    </xf>
    <xf numFmtId="0" fontId="0" fillId="10" borderId="0" xfId="0" applyFill="1" applyAlignme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4" borderId="0" xfId="0" applyFill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49" fontId="0" fillId="4" borderId="0" xfId="0" applyNumberFormat="1" applyFill="1" applyAlignment="1" applyProtection="1">
      <alignment horizontal="center"/>
      <protection locked="0"/>
    </xf>
    <xf numFmtId="0" fontId="0" fillId="4" borderId="0" xfId="0" applyNumberFormat="1" applyFill="1" applyAlignment="1" applyProtection="1">
      <alignment horizontal="center"/>
      <protection locked="0"/>
    </xf>
    <xf numFmtId="0" fontId="29" fillId="0" borderId="0" xfId="0" applyFont="1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28" fillId="0" borderId="0" xfId="0" applyFont="1" applyAlignment="1" applyProtection="1">
      <alignment vertical="center"/>
      <protection locked="0"/>
    </xf>
    <xf numFmtId="0" fontId="0" fillId="0" borderId="0" xfId="0" quotePrefix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3" fillId="4" borderId="0" xfId="0" applyFont="1" applyFill="1" applyProtection="1"/>
    <xf numFmtId="0" fontId="0" fillId="3" borderId="0" xfId="0" applyFill="1" applyAlignment="1" applyProtection="1">
      <alignment horizontal="center"/>
    </xf>
    <xf numFmtId="165" fontId="6" fillId="0" borderId="0" xfId="1" applyNumberFormat="1" applyFont="1" applyFill="1" applyBorder="1" applyAlignment="1" applyProtection="1">
      <alignment horizontal="left" vertical="center"/>
    </xf>
    <xf numFmtId="49" fontId="3" fillId="4" borderId="0" xfId="1" applyNumberFormat="1" applyFont="1" applyFill="1" applyProtection="1"/>
    <xf numFmtId="165" fontId="16" fillId="0" borderId="0" xfId="1" applyNumberFormat="1" applyFont="1" applyFill="1" applyBorder="1" applyAlignment="1" applyProtection="1">
      <alignment horizontal="right" vertical="center"/>
    </xf>
    <xf numFmtId="0" fontId="13" fillId="0" borderId="0" xfId="1" applyFont="1" applyAlignment="1" applyProtection="1">
      <alignment horizontal="center" vertical="center"/>
    </xf>
    <xf numFmtId="0" fontId="14" fillId="0" borderId="0" xfId="1" applyFont="1" applyBorder="1" applyAlignment="1" applyProtection="1">
      <alignment horizontal="left" vertical="center"/>
    </xf>
    <xf numFmtId="0" fontId="14" fillId="0" borderId="0" xfId="1" applyFont="1" applyFill="1" applyBorder="1" applyAlignment="1" applyProtection="1">
      <alignment horizontal="left" vertical="center"/>
    </xf>
    <xf numFmtId="0" fontId="10" fillId="0" borderId="0" xfId="1" applyBorder="1" applyAlignment="1" applyProtection="1">
      <alignment horizontal="left"/>
    </xf>
    <xf numFmtId="0" fontId="6" fillId="0" borderId="0" xfId="0" applyFont="1" applyAlignment="1" applyProtection="1">
      <alignment vertical="center"/>
      <protection locked="0"/>
    </xf>
    <xf numFmtId="14" fontId="6" fillId="0" borderId="0" xfId="0" applyNumberFormat="1" applyFont="1" applyAlignment="1" applyProtection="1">
      <alignment horizontal="left" vertical="center"/>
      <protection locked="0"/>
    </xf>
    <xf numFmtId="0" fontId="6" fillId="0" borderId="26" xfId="0" applyFont="1" applyBorder="1" applyAlignment="1" applyProtection="1">
      <alignment vertical="center"/>
      <protection locked="0"/>
    </xf>
    <xf numFmtId="14" fontId="6" fillId="0" borderId="31" xfId="0" applyNumberFormat="1" applyFont="1" applyBorder="1" applyAlignment="1" applyProtection="1">
      <alignment horizontal="left" vertical="center"/>
      <protection locked="0"/>
    </xf>
    <xf numFmtId="0" fontId="38" fillId="0" borderId="0" xfId="0" applyFont="1"/>
    <xf numFmtId="14" fontId="0" fillId="2" borderId="0" xfId="0" applyNumberFormat="1" applyFill="1" applyAlignment="1" applyProtection="1">
      <alignment horizontal="left"/>
      <protection locked="0"/>
    </xf>
    <xf numFmtId="0" fontId="0" fillId="2" borderId="0" xfId="0" applyFill="1" applyAlignment="1" applyProtection="1">
      <alignment horizontal="left"/>
      <protection locked="0"/>
    </xf>
    <xf numFmtId="0" fontId="0" fillId="2" borderId="0" xfId="0" applyFill="1" applyProtection="1">
      <protection locked="0"/>
    </xf>
    <xf numFmtId="22" fontId="0" fillId="0" borderId="0" xfId="0" applyNumberFormat="1" applyFill="1" applyAlignment="1">
      <alignment horizontal="center" vertical="center"/>
    </xf>
    <xf numFmtId="0" fontId="39" fillId="5" borderId="0" xfId="1" applyFont="1" applyFill="1" applyProtection="1">
      <protection locked="0"/>
    </xf>
    <xf numFmtId="0" fontId="39" fillId="5" borderId="0" xfId="1" applyFont="1" applyFill="1" applyAlignment="1" applyProtection="1">
      <alignment vertical="center"/>
      <protection locked="0"/>
    </xf>
    <xf numFmtId="0" fontId="39" fillId="5" borderId="0" xfId="1" applyFont="1" applyFill="1" applyAlignment="1" applyProtection="1">
      <alignment horizontal="left" vertical="center"/>
      <protection locked="0"/>
    </xf>
    <xf numFmtId="0" fontId="39" fillId="4" borderId="0" xfId="1" applyFont="1" applyFill="1" applyAlignment="1" applyProtection="1">
      <alignment horizontal="center"/>
    </xf>
    <xf numFmtId="0" fontId="39" fillId="4" borderId="0" xfId="1" applyFont="1" applyFill="1" applyAlignment="1" applyProtection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22" fontId="4" fillId="0" borderId="0" xfId="0" applyNumberFormat="1" applyFont="1" applyFill="1" applyAlignment="1">
      <alignment horizontal="center" vertical="center"/>
    </xf>
    <xf numFmtId="0" fontId="38" fillId="0" borderId="0" xfId="0" applyFont="1" applyAlignment="1" applyProtection="1">
      <alignment horizontal="left" vertical="center"/>
      <protection locked="0"/>
    </xf>
    <xf numFmtId="14" fontId="0" fillId="0" borderId="0" xfId="0" applyNumberFormat="1" applyAlignment="1">
      <alignment horizontal="center" vertical="center"/>
    </xf>
    <xf numFmtId="0" fontId="39" fillId="0" borderId="0" xfId="1" applyFont="1" applyFill="1" applyProtection="1">
      <protection locked="0"/>
    </xf>
    <xf numFmtId="0" fontId="40" fillId="3" borderId="8" xfId="1" applyFont="1" applyFill="1" applyBorder="1" applyAlignment="1" applyProtection="1">
      <alignment horizontal="left" vertical="center"/>
      <protection locked="0"/>
    </xf>
    <xf numFmtId="0" fontId="41" fillId="3" borderId="17" xfId="1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9" fillId="4" borderId="0" xfId="0" applyFont="1" applyFill="1" applyProtection="1"/>
    <xf numFmtId="0" fontId="4" fillId="4" borderId="0" xfId="1" quotePrefix="1" applyFont="1" applyFill="1" applyAlignment="1" applyProtection="1">
      <alignment textRotation="180"/>
      <protection locked="0"/>
    </xf>
    <xf numFmtId="0" fontId="0" fillId="0" borderId="0" xfId="0"/>
    <xf numFmtId="0" fontId="4" fillId="2" borderId="0" xfId="1" quotePrefix="1" applyFont="1" applyFill="1" applyAlignment="1" applyProtection="1">
      <alignment horizontal="center" textRotation="180"/>
    </xf>
    <xf numFmtId="0" fontId="4" fillId="2" borderId="0" xfId="1" applyFont="1" applyFill="1" applyAlignment="1" applyProtection="1">
      <alignment horizontal="center" textRotation="180"/>
    </xf>
    <xf numFmtId="0" fontId="11" fillId="0" borderId="13" xfId="1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4" fillId="11" borderId="0" xfId="1" quotePrefix="1" applyFont="1" applyFill="1" applyAlignment="1" applyProtection="1">
      <alignment textRotation="180"/>
    </xf>
    <xf numFmtId="0" fontId="4" fillId="11" borderId="0" xfId="1" applyFont="1" applyFill="1" applyAlignment="1" applyProtection="1">
      <alignment textRotation="180"/>
    </xf>
    <xf numFmtId="0" fontId="4" fillId="3" borderId="0" xfId="1" quotePrefix="1" applyFont="1" applyFill="1" applyAlignment="1" applyProtection="1">
      <alignment textRotation="180"/>
    </xf>
    <xf numFmtId="0" fontId="4" fillId="3" borderId="0" xfId="1" applyFont="1" applyFill="1" applyAlignment="1" applyProtection="1">
      <alignment textRotation="180"/>
    </xf>
    <xf numFmtId="0" fontId="4" fillId="10" borderId="0" xfId="1" quotePrefix="1" applyFont="1" applyFill="1" applyAlignment="1" applyProtection="1">
      <alignment textRotation="180"/>
    </xf>
    <xf numFmtId="0" fontId="4" fillId="10" borderId="0" xfId="1" applyFont="1" applyFill="1" applyAlignment="1" applyProtection="1">
      <alignment textRotation="180"/>
    </xf>
    <xf numFmtId="0" fontId="4" fillId="4" borderId="0" xfId="1" quotePrefix="1" applyFont="1" applyFill="1" applyAlignment="1" applyProtection="1">
      <alignment textRotation="180"/>
    </xf>
    <xf numFmtId="0" fontId="4" fillId="4" borderId="0" xfId="1" applyFont="1" applyFill="1" applyAlignment="1" applyProtection="1">
      <alignment textRotation="180"/>
    </xf>
    <xf numFmtId="166" fontId="17" fillId="0" borderId="66" xfId="1" applyNumberFormat="1" applyFont="1" applyBorder="1" applyAlignment="1" applyProtection="1">
      <alignment horizontal="center" vertical="center"/>
    </xf>
    <xf numFmtId="0" fontId="0" fillId="0" borderId="67" xfId="0" applyBorder="1" applyAlignment="1" applyProtection="1">
      <alignment horizontal="center" vertical="center"/>
    </xf>
    <xf numFmtId="0" fontId="0" fillId="0" borderId="68" xfId="0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/>
      <protection locked="0"/>
    </xf>
    <xf numFmtId="0" fontId="0" fillId="4" borderId="13" xfId="0" quotePrefix="1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4" xfId="0" applyFill="1" applyBorder="1" applyAlignment="1" applyProtection="1">
      <alignment horizontal="center" vertical="center"/>
      <protection locked="0"/>
    </xf>
    <xf numFmtId="0" fontId="2" fillId="5" borderId="14" xfId="0" applyFont="1" applyFill="1" applyBorder="1" applyAlignment="1" applyProtection="1">
      <alignment horizontal="center" vertical="center"/>
      <protection locked="0"/>
    </xf>
    <xf numFmtId="0" fontId="0" fillId="0" borderId="69" xfId="0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</cellXfs>
  <cellStyles count="2">
    <cellStyle name="Standard" xfId="0" builtinId="0"/>
    <cellStyle name="Standard_M-10a-06" xfId="1"/>
  </cellStyles>
  <dxfs count="99">
    <dxf>
      <fill>
        <patternFill>
          <bgColor indexed="44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5"/>
        </patternFill>
      </fill>
    </dxf>
    <dxf>
      <fill>
        <patternFill>
          <bgColor indexed="47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5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4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244" name="Arc 1"/>
        <xdr:cNvSpPr>
          <a:spLocks/>
        </xdr:cNvSpPr>
      </xdr:nvSpPr>
      <xdr:spPr bwMode="auto">
        <a:xfrm>
          <a:off x="340995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19599" name="Arc 1"/>
        <xdr:cNvSpPr>
          <a:spLocks/>
        </xdr:cNvSpPr>
      </xdr:nvSpPr>
      <xdr:spPr bwMode="auto">
        <a:xfrm>
          <a:off x="956310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0</xdr:row>
      <xdr:rowOff>0</xdr:rowOff>
    </xdr:from>
    <xdr:to>
      <xdr:col>20</xdr:col>
      <xdr:colOff>0</xdr:colOff>
      <xdr:row>0</xdr:row>
      <xdr:rowOff>0</xdr:rowOff>
    </xdr:to>
    <xdr:sp macro="" textlink="">
      <xdr:nvSpPr>
        <xdr:cNvPr id="5146" name="Arc 1"/>
        <xdr:cNvSpPr>
          <a:spLocks/>
        </xdr:cNvSpPr>
      </xdr:nvSpPr>
      <xdr:spPr bwMode="auto">
        <a:xfrm>
          <a:off x="577215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0</xdr:row>
      <xdr:rowOff>0</xdr:rowOff>
    </xdr:from>
    <xdr:to>
      <xdr:col>20</xdr:col>
      <xdr:colOff>0</xdr:colOff>
      <xdr:row>0</xdr:row>
      <xdr:rowOff>0</xdr:rowOff>
    </xdr:to>
    <xdr:sp macro="" textlink="">
      <xdr:nvSpPr>
        <xdr:cNvPr id="15382" name="Arc 1"/>
        <xdr:cNvSpPr>
          <a:spLocks/>
        </xdr:cNvSpPr>
      </xdr:nvSpPr>
      <xdr:spPr bwMode="auto">
        <a:xfrm>
          <a:off x="590550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0</xdr:row>
      <xdr:rowOff>0</xdr:rowOff>
    </xdr:from>
    <xdr:to>
      <xdr:col>20</xdr:col>
      <xdr:colOff>0</xdr:colOff>
      <xdr:row>0</xdr:row>
      <xdr:rowOff>0</xdr:rowOff>
    </xdr:to>
    <xdr:sp macro="" textlink="">
      <xdr:nvSpPr>
        <xdr:cNvPr id="16406" name="Arc 1"/>
        <xdr:cNvSpPr>
          <a:spLocks/>
        </xdr:cNvSpPr>
      </xdr:nvSpPr>
      <xdr:spPr bwMode="auto">
        <a:xfrm>
          <a:off x="577215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4361" name="Arc 1"/>
        <xdr:cNvSpPr>
          <a:spLocks/>
        </xdr:cNvSpPr>
      </xdr:nvSpPr>
      <xdr:spPr bwMode="auto">
        <a:xfrm>
          <a:off x="5686425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0</xdr:row>
      <xdr:rowOff>0</xdr:rowOff>
    </xdr:from>
    <xdr:to>
      <xdr:col>20</xdr:col>
      <xdr:colOff>0</xdr:colOff>
      <xdr:row>0</xdr:row>
      <xdr:rowOff>0</xdr:rowOff>
    </xdr:to>
    <xdr:sp macro="" textlink="">
      <xdr:nvSpPr>
        <xdr:cNvPr id="13335" name="Arc 1"/>
        <xdr:cNvSpPr>
          <a:spLocks/>
        </xdr:cNvSpPr>
      </xdr:nvSpPr>
      <xdr:spPr bwMode="auto">
        <a:xfrm>
          <a:off x="5772150" y="0"/>
          <a:ext cx="0" cy="0"/>
        </a:xfrm>
        <a:custGeom>
          <a:avLst/>
          <a:gdLst>
            <a:gd name="T0" fmla="*/ 0 w 21600"/>
            <a:gd name="T1" fmla="*/ 0 h 21600"/>
            <a:gd name="T2" fmla="*/ 0 w 21600"/>
            <a:gd name="T3" fmla="*/ 0 h 21600"/>
            <a:gd name="T4" fmla="*/ 0 w 21600"/>
            <a:gd name="T5" fmla="*/ 0 h 21600"/>
            <a:gd name="T6" fmla="*/ 0 60000 65536"/>
            <a:gd name="T7" fmla="*/ 0 60000 65536"/>
            <a:gd name="T8" fmla="*/ 0 60000 65536"/>
            <a:gd name="T9" fmla="*/ 0 w 21600"/>
            <a:gd name="T10" fmla="*/ 0 h 21600"/>
            <a:gd name="T11" fmla="*/ 21600 w 21600"/>
            <a:gd name="T12" fmla="*/ 21600 h 21600"/>
          </a:gdLst>
          <a:ahLst/>
          <a:cxnLst>
            <a:cxn ang="T6">
              <a:pos x="T0" y="T1"/>
            </a:cxn>
            <a:cxn ang="T7">
              <a:pos x="T2" y="T3"/>
            </a:cxn>
            <a:cxn ang="T8">
              <a:pos x="T4" y="T5"/>
            </a:cxn>
          </a:cxnLst>
          <a:rect l="T9" t="T10" r="T11" b="T12"/>
          <a:pathLst>
            <a:path w="21600" h="21600" fill="none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</a:path>
            <a:path w="21600" h="21600" stroke="0" extrusionOk="0">
              <a:moveTo>
                <a:pt x="-1" y="0"/>
              </a:moveTo>
              <a:cubicBezTo>
                <a:pt x="11929" y="0"/>
                <a:pt x="21600" y="9670"/>
                <a:pt x="21600" y="21600"/>
              </a:cubicBezTo>
              <a:lnTo>
                <a:pt x="0" y="21600"/>
              </a:lnTo>
              <a:close/>
            </a:path>
          </a:pathLst>
        </a:cu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autoPageBreaks="0" fitToPage="1"/>
  </sheetPr>
  <dimension ref="A1:CP114"/>
  <sheetViews>
    <sheetView showGridLines="0" topLeftCell="A4" workbookViewId="0">
      <selection activeCell="A3" sqref="A3"/>
    </sheetView>
  </sheetViews>
  <sheetFormatPr baseColWidth="10" defaultColWidth="10.7109375" defaultRowHeight="12.75" x14ac:dyDescent="0.2"/>
  <cols>
    <col min="1" max="1" width="4.42578125" style="9" customWidth="1"/>
    <col min="2" max="2" width="6" style="9" customWidth="1"/>
    <col min="3" max="3" width="18.7109375" style="9" customWidth="1"/>
    <col min="4" max="5" width="22" style="9" customWidth="1"/>
    <col min="6" max="6" width="44.7109375" style="9" customWidth="1"/>
    <col min="7" max="7" width="13.28515625" style="9" customWidth="1"/>
    <col min="8" max="8" width="8.7109375" style="9" customWidth="1"/>
    <col min="9" max="9" width="27.42578125" style="9" customWidth="1"/>
    <col min="10" max="10" width="8.140625" style="9" customWidth="1"/>
    <col min="11" max="11" width="14" style="9" customWidth="1"/>
    <col min="12" max="12" width="7.42578125" style="9" customWidth="1"/>
    <col min="13" max="13" width="6.140625" style="9" customWidth="1"/>
    <col min="14" max="14" width="10.140625" style="9" customWidth="1"/>
    <col min="15" max="15" width="17.140625" style="9" customWidth="1"/>
    <col min="16" max="16" width="28.85546875" style="9" customWidth="1"/>
    <col min="17" max="17" width="15.140625" style="9" customWidth="1"/>
    <col min="18" max="18" width="78.28515625" style="9" customWidth="1"/>
    <col min="19" max="16384" width="10.7109375" style="9"/>
  </cols>
  <sheetData>
    <row r="1" spans="1:94" x14ac:dyDescent="0.2">
      <c r="A1" s="85">
        <v>20</v>
      </c>
      <c r="B1" s="73"/>
      <c r="C1" s="84" t="s">
        <v>186</v>
      </c>
      <c r="D1" s="139" t="s">
        <v>249</v>
      </c>
      <c r="E1" s="139"/>
      <c r="F1" s="66"/>
      <c r="G1"/>
      <c r="H1" s="137" t="s">
        <v>187</v>
      </c>
      <c r="I1" s="138" t="s">
        <v>243</v>
      </c>
      <c r="J1" s="8"/>
      <c r="K1" s="8"/>
      <c r="L1" s="8"/>
      <c r="M1" s="141"/>
      <c r="N1" s="142">
        <f>COUNTIF(N$5:N$39,"&lt;&gt;")</f>
        <v>15</v>
      </c>
      <c r="O1" s="143"/>
      <c r="P1" s="143"/>
      <c r="Q1" s="143"/>
      <c r="R1" s="143"/>
      <c r="S1" s="1"/>
      <c r="T1" s="1"/>
      <c r="U1" s="1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</row>
    <row r="2" spans="1:94" x14ac:dyDescent="0.2">
      <c r="A2" s="84"/>
      <c r="B2" s="73"/>
      <c r="C2" s="111" t="s">
        <v>335</v>
      </c>
      <c r="D2" s="139" t="s">
        <v>290</v>
      </c>
      <c r="E2" s="139"/>
      <c r="F2" s="66"/>
      <c r="G2" s="8"/>
      <c r="H2" s="137" t="s">
        <v>240</v>
      </c>
      <c r="I2" s="138" t="s">
        <v>244</v>
      </c>
      <c r="J2" s="8"/>
      <c r="K2" s="8"/>
      <c r="L2" s="8"/>
      <c r="M2" s="141"/>
      <c r="N2" s="142" t="str">
        <f>"Z("&amp;1+N1&amp;")S(1)"</f>
        <v>Z(16)S(1)</v>
      </c>
      <c r="O2" s="143"/>
      <c r="P2" s="143"/>
      <c r="Q2" s="143"/>
      <c r="R2" s="143"/>
      <c r="S2" s="1"/>
      <c r="T2" s="1"/>
      <c r="U2" s="1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</row>
    <row r="3" spans="1:94" x14ac:dyDescent="0.2">
      <c r="A3" s="84"/>
      <c r="B3" s="103"/>
      <c r="C3" s="534"/>
      <c r="D3" s="140" t="s">
        <v>358</v>
      </c>
      <c r="E3" s="139"/>
      <c r="F3" s="65"/>
      <c r="G3" s="134" t="str">
        <f>"10"&amp;$C$1</f>
        <v>10a</v>
      </c>
      <c r="H3" s="137" t="s">
        <v>241</v>
      </c>
      <c r="I3" s="138" t="s">
        <v>245</v>
      </c>
      <c r="J3" s="8"/>
      <c r="K3" s="8"/>
      <c r="L3" s="8"/>
      <c r="M3" s="144" t="str">
        <f ca="1">INDIRECT($N$2,FALSE)</f>
        <v>6_0</v>
      </c>
      <c r="N3" s="145" t="s">
        <v>218</v>
      </c>
      <c r="O3" s="146" t="s">
        <v>224</v>
      </c>
      <c r="P3" s="146" t="s">
        <v>225</v>
      </c>
      <c r="Q3" s="147" t="s">
        <v>219</v>
      </c>
      <c r="R3" s="147" t="s">
        <v>220</v>
      </c>
      <c r="S3" s="124"/>
      <c r="T3" s="1"/>
      <c r="U3" s="1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</row>
    <row r="4" spans="1:94" x14ac:dyDescent="0.2">
      <c r="A4" s="61"/>
      <c r="B4" s="109"/>
      <c r="C4" s="534"/>
      <c r="D4" s="140" t="s">
        <v>236</v>
      </c>
      <c r="E4" s="140"/>
      <c r="F4" s="66"/>
      <c r="G4" s="134" t="str">
        <f>A1&amp;A2&amp;"/"&amp;A3</f>
        <v>20/</v>
      </c>
      <c r="H4" s="92"/>
      <c r="I4" s="93"/>
      <c r="J4" s="8"/>
      <c r="K4" s="8"/>
      <c r="L4" s="8"/>
      <c r="M4" s="141"/>
      <c r="N4" s="148"/>
      <c r="O4" s="143"/>
      <c r="P4" s="143"/>
      <c r="Q4" s="143"/>
      <c r="R4" s="143"/>
      <c r="S4" s="1"/>
      <c r="T4" s="1"/>
      <c r="U4" s="1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</row>
    <row r="5" spans="1:94" x14ac:dyDescent="0.2">
      <c r="B5" s="83" t="s">
        <v>263</v>
      </c>
      <c r="C5" s="535" t="s">
        <v>151</v>
      </c>
      <c r="D5" s="140" t="s">
        <v>237</v>
      </c>
      <c r="E5" s="140"/>
      <c r="F5" s="72" t="s">
        <v>289</v>
      </c>
      <c r="G5" s="134" t="str">
        <f>"10"&amp;$C$1&amp;"  ("&amp;$G$4&amp;")"</f>
        <v>10a  (20/)</v>
      </c>
      <c r="H5" s="8"/>
      <c r="I5" s="8"/>
      <c r="J5" s="8"/>
      <c r="K5" s="8"/>
      <c r="L5" s="8"/>
      <c r="M5" s="141"/>
      <c r="N5" s="142">
        <v>2</v>
      </c>
      <c r="O5" s="149" t="s">
        <v>222</v>
      </c>
      <c r="P5" s="150" t="s">
        <v>280</v>
      </c>
      <c r="Q5" s="151"/>
      <c r="R5" s="143"/>
      <c r="S5" s="1"/>
      <c r="T5" s="1"/>
      <c r="U5" s="1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</row>
    <row r="6" spans="1:94" x14ac:dyDescent="0.2">
      <c r="B6" s="109"/>
      <c r="C6" s="535"/>
      <c r="D6" s="140" t="s">
        <v>238</v>
      </c>
      <c r="E6" s="140"/>
      <c r="F6" s="8"/>
      <c r="G6" s="134" t="str">
        <f>$A$1&amp;$A$3</f>
        <v>20</v>
      </c>
      <c r="H6" s="58"/>
      <c r="I6" s="8"/>
      <c r="J6" s="8"/>
      <c r="K6" s="8"/>
      <c r="L6" s="8"/>
      <c r="M6" s="141"/>
      <c r="N6" s="142" t="s">
        <v>217</v>
      </c>
      <c r="O6" s="149" t="s">
        <v>227</v>
      </c>
      <c r="P6" s="150" t="s">
        <v>281</v>
      </c>
      <c r="Q6" s="151"/>
      <c r="R6" s="143" t="s">
        <v>221</v>
      </c>
      <c r="S6" s="1"/>
      <c r="T6" s="1"/>
      <c r="U6" s="1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</row>
    <row r="7" spans="1:94" x14ac:dyDescent="0.2">
      <c r="A7" s="8"/>
      <c r="B7" s="7"/>
      <c r="C7" s="536"/>
      <c r="D7" s="140" t="s">
        <v>239</v>
      </c>
      <c r="E7" s="140"/>
      <c r="F7" s="8"/>
      <c r="G7" s="88"/>
      <c r="H7" s="89" t="s">
        <v>333</v>
      </c>
      <c r="I7" s="89" t="s">
        <v>275</v>
      </c>
      <c r="J7" s="8"/>
      <c r="K7" s="8"/>
      <c r="L7" s="8"/>
      <c r="M7" s="141"/>
      <c r="N7" s="142" t="s">
        <v>229</v>
      </c>
      <c r="O7" s="149" t="s">
        <v>235</v>
      </c>
      <c r="P7" s="150" t="s">
        <v>282</v>
      </c>
      <c r="Q7" s="151"/>
      <c r="R7" s="143" t="s">
        <v>230</v>
      </c>
      <c r="S7" s="1"/>
      <c r="T7" s="1"/>
      <c r="U7" s="1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</row>
    <row r="8" spans="1:94" x14ac:dyDescent="0.2">
      <c r="A8" s="8"/>
      <c r="B8" s="7"/>
      <c r="C8" s="8" t="s">
        <v>340</v>
      </c>
      <c r="D8" s="8"/>
      <c r="E8" s="8"/>
      <c r="F8" s="8"/>
      <c r="G8" s="88"/>
      <c r="H8" s="89" t="s">
        <v>276</v>
      </c>
      <c r="I8" s="52" t="s">
        <v>327</v>
      </c>
      <c r="J8" s="8"/>
      <c r="K8" s="8"/>
      <c r="L8" s="8"/>
      <c r="M8" s="141"/>
      <c r="N8" s="142">
        <v>3</v>
      </c>
      <c r="O8" s="152">
        <v>39147.437504166664</v>
      </c>
      <c r="P8" s="150" t="s">
        <v>283</v>
      </c>
      <c r="Q8" s="153"/>
      <c r="R8" s="143" t="s">
        <v>250</v>
      </c>
      <c r="S8" s="1"/>
      <c r="T8" s="1"/>
      <c r="U8" s="1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</row>
    <row r="9" spans="1:94" x14ac:dyDescent="0.2">
      <c r="A9" s="8"/>
      <c r="B9" s="7"/>
      <c r="C9" s="8" t="s">
        <v>208</v>
      </c>
      <c r="D9" s="8"/>
      <c r="E9" s="8"/>
      <c r="F9" s="8"/>
      <c r="G9" s="88"/>
      <c r="H9" s="89" t="str">
        <f>IF(H$14&gt;0,$C$2,"")</f>
        <v>E5</v>
      </c>
      <c r="I9" s="73" t="s">
        <v>328</v>
      </c>
      <c r="J9" s="8"/>
      <c r="K9" s="8"/>
      <c r="L9" s="8"/>
      <c r="M9" s="141"/>
      <c r="N9" s="142" t="s">
        <v>269</v>
      </c>
      <c r="O9" s="152">
        <v>39148.375108796296</v>
      </c>
      <c r="P9" s="150" t="s">
        <v>284</v>
      </c>
      <c r="Q9" s="153"/>
      <c r="R9" s="143" t="s">
        <v>271</v>
      </c>
      <c r="S9" s="1"/>
      <c r="T9" s="1"/>
      <c r="U9" s="1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</row>
    <row r="10" spans="1:94" x14ac:dyDescent="0.2">
      <c r="A10" s="8"/>
      <c r="B10" s="7"/>
      <c r="C10" s="8" t="s">
        <v>132</v>
      </c>
      <c r="D10" s="8"/>
      <c r="E10" s="8"/>
      <c r="F10" s="8"/>
      <c r="G10" s="8"/>
      <c r="H10" s="89" t="s">
        <v>277</v>
      </c>
      <c r="I10" s="52" t="s">
        <v>329</v>
      </c>
      <c r="J10" s="8"/>
      <c r="K10" s="8"/>
      <c r="L10" s="8"/>
      <c r="M10" s="141"/>
      <c r="N10" s="142" t="s">
        <v>273</v>
      </c>
      <c r="O10" s="152">
        <v>39148.583383680554</v>
      </c>
      <c r="P10" s="150" t="s">
        <v>285</v>
      </c>
      <c r="Q10" s="153">
        <v>39148.416805555556</v>
      </c>
      <c r="R10" s="143" t="s">
        <v>274</v>
      </c>
      <c r="S10" s="1"/>
      <c r="T10" s="1"/>
      <c r="U10" s="1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</row>
    <row r="11" spans="1:94" x14ac:dyDescent="0.2">
      <c r="A11" s="8"/>
      <c r="B11" s="7"/>
      <c r="C11" s="66" t="str">
        <f>"Danach sollte die Datei unter einem neuen Namen (z.B. ZP_10_Klasse_10"&amp;$C$1&amp;"_"&amp;$G$6&amp;") gespeichert werden."</f>
        <v>Danach sollte die Datei unter einem neuen Namen (z.B. ZP_10_Klasse_10a_20) gespeichert werden.</v>
      </c>
      <c r="D11" s="66"/>
      <c r="E11" s="66"/>
      <c r="F11" s="66"/>
      <c r="G11" s="88"/>
      <c r="H11" s="89" t="str">
        <f>IF(H$15&gt;0,"F5","")</f>
        <v/>
      </c>
      <c r="I11" s="548" t="s">
        <v>330</v>
      </c>
      <c r="J11" s="8"/>
      <c r="K11" s="8"/>
      <c r="L11" s="8"/>
      <c r="M11" s="141"/>
      <c r="N11" s="142" t="s">
        <v>288</v>
      </c>
      <c r="O11" s="152">
        <v>39154.700694444444</v>
      </c>
      <c r="P11" s="150" t="s">
        <v>338</v>
      </c>
      <c r="Q11" s="153"/>
      <c r="R11" s="143" t="s">
        <v>286</v>
      </c>
      <c r="S11" s="1"/>
      <c r="T11" s="1"/>
      <c r="U11" s="1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</row>
    <row r="12" spans="1:94" x14ac:dyDescent="0.2">
      <c r="A12" s="8"/>
      <c r="B12" s="7"/>
      <c r="C12" s="66" t="s">
        <v>167</v>
      </c>
      <c r="D12" s="72"/>
      <c r="E12" s="72"/>
      <c r="F12" s="66"/>
      <c r="G12" s="8"/>
      <c r="H12" s="89" t="str">
        <f>IF(H$16&gt;0,"L5","")</f>
        <v/>
      </c>
      <c r="I12" s="548" t="s">
        <v>331</v>
      </c>
      <c r="J12" s="8"/>
      <c r="K12" s="8"/>
      <c r="L12" s="8"/>
      <c r="M12" s="141"/>
      <c r="N12" s="142">
        <v>4</v>
      </c>
      <c r="O12" s="152">
        <v>39209.833332870374</v>
      </c>
      <c r="P12" s="150" t="s">
        <v>339</v>
      </c>
      <c r="Q12" s="153">
        <v>39209.809154861112</v>
      </c>
      <c r="R12" s="143" t="s">
        <v>296</v>
      </c>
      <c r="S12" s="1"/>
      <c r="T12" s="1"/>
      <c r="U12" s="1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</row>
    <row r="13" spans="1:94" x14ac:dyDescent="0.2">
      <c r="A13" s="8"/>
      <c r="B13" s="7"/>
      <c r="C13" t="s">
        <v>165</v>
      </c>
      <c r="D13"/>
      <c r="E13"/>
      <c r="F13" s="538" t="s">
        <v>292</v>
      </c>
      <c r="G13" s="134" t="s">
        <v>242</v>
      </c>
      <c r="H13" s="135">
        <f>COUNTIF($C$19:$C$54,"&lt;&gt;")</f>
        <v>36</v>
      </c>
      <c r="I13" s="134" t="str">
        <f>CONCATENATE(I$14,I$15,I$16,I$17,I$18)</f>
        <v>Englisch</v>
      </c>
      <c r="J13" s="134" t="str">
        <f>CONCATENATE(J$14,J$15,J$16,J$17,J$18)</f>
        <v>E</v>
      </c>
      <c r="K13" s="134" t="str">
        <f>CONCATENATE(IF(K$14="","",K$14),IF(K$15="","",K$15),IF(K$16="","",K$16))</f>
        <v>N E</v>
      </c>
      <c r="L13" s="8"/>
      <c r="M13" s="141"/>
      <c r="N13" s="142" t="s">
        <v>341</v>
      </c>
      <c r="O13" s="152">
        <v>39212.565974884259</v>
      </c>
      <c r="P13" s="150" t="s">
        <v>362</v>
      </c>
      <c r="Q13" s="153">
        <v>39212.565974884259</v>
      </c>
      <c r="R13" s="143" t="s">
        <v>342</v>
      </c>
      <c r="S13" s="1"/>
      <c r="T13" s="1"/>
      <c r="U13" s="1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</row>
    <row r="14" spans="1:94" ht="12.75" customHeight="1" x14ac:dyDescent="0.2">
      <c r="A14" s="8"/>
      <c r="B14" s="7"/>
      <c r="C14" s="553" t="s">
        <v>90</v>
      </c>
      <c r="D14" s="553" t="s">
        <v>90</v>
      </c>
      <c r="E14" s="553" t="s">
        <v>90</v>
      </c>
      <c r="F14" s="539" t="s">
        <v>294</v>
      </c>
      <c r="G14" s="136" t="s">
        <v>187</v>
      </c>
      <c r="H14" s="135">
        <f>H$13-H$15-H$16</f>
        <v>36</v>
      </c>
      <c r="I14" s="134" t="str">
        <f>IF($H$13-$H14=0,"Englisch",IF($H14=0,"","Englisch, "))</f>
        <v>Englisch</v>
      </c>
      <c r="J14" s="134" t="str">
        <f>IF($H$13-$H14=0,"E",IF($H14=0,"","E, "))</f>
        <v>E</v>
      </c>
      <c r="K14" s="134" t="str">
        <f>IF($H$13-$H14=0,IF($I$9="","",$I$9),IF($H14=0,"",IF($I$9="","",$I$9&amp;", ")))</f>
        <v>N E</v>
      </c>
      <c r="L14" s="8"/>
      <c r="M14" s="141"/>
      <c r="N14" s="142" t="s">
        <v>344</v>
      </c>
      <c r="O14" s="152">
        <v>39213.440327777775</v>
      </c>
      <c r="P14" s="150" t="s">
        <v>363</v>
      </c>
      <c r="Q14" s="153">
        <v>39213.440327777775</v>
      </c>
      <c r="R14" s="143" t="s">
        <v>345</v>
      </c>
      <c r="S14" s="1"/>
      <c r="T14" s="1"/>
      <c r="U14" s="1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</row>
    <row r="15" spans="1:94" x14ac:dyDescent="0.2">
      <c r="A15" s="8"/>
      <c r="B15" s="7"/>
      <c r="C15" s="554"/>
      <c r="D15" s="554"/>
      <c r="E15" s="554"/>
      <c r="F15" s="539" t="s">
        <v>293</v>
      </c>
      <c r="G15" s="541" t="s">
        <v>240</v>
      </c>
      <c r="H15" s="542">
        <f>COUNTIF($F$19:$F$54,$G15)</f>
        <v>0</v>
      </c>
      <c r="I15" s="134" t="str">
        <f>IF($H$13-$H15=0,"Französisch",IF($H15=0,"",IF($H$16=0,"Französisch","Französisch, ")))</f>
        <v/>
      </c>
      <c r="J15" s="134" t="str">
        <f>IF($H$13-$H15=0,"F",IF($H15=0,"",IF($H$16=0,"F","F, ")))</f>
        <v/>
      </c>
      <c r="K15" s="134" t="str">
        <f>IF($H$13-$H15=0,IF($I$11="","",$I$11),IF($H15=0,"",IF($H$16=0,IF($I$11="","",$I$11),IF($I$11="","",$I$11&amp;", "))))</f>
        <v/>
      </c>
      <c r="L15" s="8"/>
      <c r="M15" s="141"/>
      <c r="N15" s="142" t="s">
        <v>346</v>
      </c>
      <c r="O15" s="152">
        <v>39216.583333333336</v>
      </c>
      <c r="P15" s="150" t="s">
        <v>361</v>
      </c>
      <c r="Q15" s="153"/>
      <c r="R15" s="143" t="s">
        <v>367</v>
      </c>
      <c r="S15" s="1"/>
      <c r="T15" s="1"/>
      <c r="U15" s="1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</row>
    <row r="16" spans="1:94" s="13" customFormat="1" ht="12.75" customHeight="1" thickBot="1" x14ac:dyDescent="0.25">
      <c r="A16" s="10"/>
      <c r="B16" s="17"/>
      <c r="C16" s="12"/>
      <c r="D16" s="12"/>
      <c r="E16" s="12"/>
      <c r="F16" s="540" t="s">
        <v>411</v>
      </c>
      <c r="G16" s="541" t="s">
        <v>241</v>
      </c>
      <c r="H16" s="542">
        <f>COUNTIF($F$19:$F$54,$G16)</f>
        <v>0</v>
      </c>
      <c r="I16" s="134" t="str">
        <f>IF($H16&lt;&gt;0,"Latein","")</f>
        <v/>
      </c>
      <c r="J16" s="134" t="str">
        <f>IF($H16&lt;&gt;0,"L","")</f>
        <v/>
      </c>
      <c r="K16" s="134" t="str">
        <f>IF($H16&lt;&gt;0,IF($I$12="","",$I$12),"")</f>
        <v/>
      </c>
      <c r="L16" s="8"/>
      <c r="M16" s="154"/>
      <c r="N16" s="155" t="s">
        <v>366</v>
      </c>
      <c r="O16" s="152">
        <v>39500.504343402776</v>
      </c>
      <c r="P16" s="156" t="s">
        <v>400</v>
      </c>
      <c r="Q16" s="153">
        <v>39500.504343402776</v>
      </c>
      <c r="R16" s="143" t="s">
        <v>376</v>
      </c>
      <c r="S16" s="1"/>
      <c r="T16" s="1"/>
      <c r="U16" s="1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</row>
    <row r="17" spans="1:21" s="13" customFormat="1" ht="18" customHeight="1" thickTop="1" x14ac:dyDescent="0.2">
      <c r="A17" s="14"/>
      <c r="B17" s="107"/>
      <c r="C17" s="15">
        <f ca="1">NOW()</f>
        <v>43536.408713773148</v>
      </c>
      <c r="D17" s="15" t="str">
        <f>"10"&amp;$C$1</f>
        <v>10a</v>
      </c>
      <c r="E17" s="15"/>
      <c r="F17" s="549" t="s">
        <v>414</v>
      </c>
      <c r="G17" s="112"/>
      <c r="H17" s="112"/>
      <c r="I17" s="91"/>
      <c r="J17" s="8"/>
      <c r="K17" s="8"/>
      <c r="L17" s="8"/>
      <c r="M17" s="154"/>
      <c r="N17" s="157" t="s">
        <v>401</v>
      </c>
      <c r="O17" s="152">
        <v>39964.75623564815</v>
      </c>
      <c r="P17" s="156" t="s">
        <v>402</v>
      </c>
      <c r="Q17" s="153"/>
      <c r="R17" s="143" t="s">
        <v>403</v>
      </c>
      <c r="S17"/>
      <c r="T17"/>
      <c r="U17"/>
    </row>
    <row r="18" spans="1:21" s="13" customFormat="1" ht="18" customHeight="1" thickBot="1" x14ac:dyDescent="0.25">
      <c r="A18" s="10"/>
      <c r="B18" s="108"/>
      <c r="C18" s="71" t="s">
        <v>56</v>
      </c>
      <c r="D18" s="113" t="s">
        <v>57</v>
      </c>
      <c r="E18" s="114" t="s">
        <v>297</v>
      </c>
      <c r="F18" s="550" t="s">
        <v>332</v>
      </c>
      <c r="G18" s="117"/>
      <c r="H18" s="2" t="s">
        <v>291</v>
      </c>
      <c r="I18"/>
      <c r="J18" s="8"/>
      <c r="K18" s="8"/>
      <c r="L18" s="8"/>
      <c r="N18" s="127" t="s">
        <v>404</v>
      </c>
      <c r="O18" s="537">
        <v>40246.458333333336</v>
      </c>
      <c r="P18" s="126" t="s">
        <v>405</v>
      </c>
      <c r="Q18" s="125">
        <v>40246</v>
      </c>
      <c r="R18" s="82" t="s">
        <v>407</v>
      </c>
      <c r="S18"/>
      <c r="T18"/>
      <c r="U18"/>
    </row>
    <row r="19" spans="1:21" s="13" customFormat="1" ht="20.100000000000001" customHeight="1" thickTop="1" x14ac:dyDescent="0.2">
      <c r="A19" s="18">
        <v>1</v>
      </c>
      <c r="B19" s="110"/>
      <c r="C19" s="529" t="s">
        <v>129</v>
      </c>
      <c r="D19" s="529" t="s">
        <v>120</v>
      </c>
      <c r="E19" s="530" t="s">
        <v>369</v>
      </c>
      <c r="F19" s="86"/>
      <c r="G19" s="129" t="str">
        <f>IF($C19="","",IF($F19="","Englisch",VLOOKUP($F19,$H$1:$I$6,2,FALSE)))</f>
        <v>Englisch</v>
      </c>
      <c r="H19" s="130" t="str">
        <f>IF($C19="","",IF($G19&lt;&gt;"Englisch",LEFT($G19,1)&amp;"5",IF($H$13-$H$14&gt;0,$C$2,$C$2)))</f>
        <v>E5</v>
      </c>
      <c r="J19" s="8"/>
      <c r="K19" s="8"/>
      <c r="L19" s="8"/>
      <c r="N19" s="543" t="s">
        <v>412</v>
      </c>
      <c r="O19" s="545">
        <v>43256.420138888891</v>
      </c>
      <c r="P19" s="544" t="s">
        <v>413</v>
      </c>
      <c r="Q19" s="547">
        <v>43256</v>
      </c>
      <c r="R19" s="546" t="s">
        <v>422</v>
      </c>
      <c r="S19"/>
      <c r="T19"/>
      <c r="U19"/>
    </row>
    <row r="20" spans="1:21" s="13" customFormat="1" ht="20.100000000000001" customHeight="1" x14ac:dyDescent="0.2">
      <c r="A20" s="18">
        <v>2</v>
      </c>
      <c r="B20" s="106"/>
      <c r="C20" s="531" t="s">
        <v>60</v>
      </c>
      <c r="D20" s="531" t="s">
        <v>121</v>
      </c>
      <c r="E20" s="532" t="s">
        <v>370</v>
      </c>
      <c r="F20" s="87"/>
      <c r="G20" s="131" t="str">
        <f>IF($C20="","",IF($F20="","Englisch",VLOOKUP($F20,$H$1:$I$6,2,FALSE)))</f>
        <v>Englisch</v>
      </c>
      <c r="H20" s="132" t="str">
        <f t="shared" ref="H20:H54" si="0">IF($C20="","",IF($G20&lt;&gt;"Englisch",LEFT($G20,1)&amp;"5",IF($H$13-$H$14&gt;0,$C$2,$C$2)))</f>
        <v>E5</v>
      </c>
      <c r="N20" s="80"/>
      <c r="O20" s="81"/>
      <c r="P20" s="79"/>
      <c r="Q20"/>
      <c r="R20" s="533"/>
      <c r="S20"/>
      <c r="T20"/>
      <c r="U20"/>
    </row>
    <row r="21" spans="1:21" s="13" customFormat="1" ht="20.100000000000001" customHeight="1" x14ac:dyDescent="0.2">
      <c r="A21" s="18">
        <v>3</v>
      </c>
      <c r="B21" s="106"/>
      <c r="C21" s="531" t="s">
        <v>61</v>
      </c>
      <c r="D21" s="531" t="s">
        <v>95</v>
      </c>
      <c r="E21" s="532" t="s">
        <v>371</v>
      </c>
      <c r="F21" s="87"/>
      <c r="G21" s="131" t="str">
        <f t="shared" ref="G21:G54" si="1">IF($C21="","",IF($F21="","Englisch",VLOOKUP($F21,$H$1:$I$6,2,FALSE)))</f>
        <v>Englisch</v>
      </c>
      <c r="H21" s="132" t="str">
        <f t="shared" si="0"/>
        <v>E5</v>
      </c>
      <c r="N21" s="80"/>
      <c r="O21" s="81"/>
      <c r="P21" s="79"/>
      <c r="Q21"/>
      <c r="R21"/>
      <c r="S21"/>
      <c r="T21"/>
      <c r="U21"/>
    </row>
    <row r="22" spans="1:21" s="13" customFormat="1" ht="20.100000000000001" customHeight="1" x14ac:dyDescent="0.2">
      <c r="A22" s="18">
        <v>4</v>
      </c>
      <c r="B22" s="106"/>
      <c r="C22" s="531" t="s">
        <v>62</v>
      </c>
      <c r="D22" s="531" t="s">
        <v>96</v>
      </c>
      <c r="E22" s="532" t="s">
        <v>372</v>
      </c>
      <c r="F22" s="87"/>
      <c r="G22" s="131" t="str">
        <f t="shared" si="1"/>
        <v>Englisch</v>
      </c>
      <c r="H22" s="132" t="str">
        <f t="shared" si="0"/>
        <v>E5</v>
      </c>
      <c r="N22" s="80"/>
      <c r="O22" s="81"/>
      <c r="P22" s="79"/>
      <c r="Q22"/>
      <c r="R22"/>
      <c r="S22"/>
      <c r="T22"/>
      <c r="U22"/>
    </row>
    <row r="23" spans="1:21" s="13" customFormat="1" ht="20.100000000000001" customHeight="1" x14ac:dyDescent="0.2">
      <c r="A23" s="18">
        <v>5</v>
      </c>
      <c r="B23" s="106"/>
      <c r="C23" s="531" t="s">
        <v>63</v>
      </c>
      <c r="D23" s="531" t="s">
        <v>97</v>
      </c>
      <c r="E23" s="532" t="s">
        <v>373</v>
      </c>
      <c r="F23" s="87"/>
      <c r="G23" s="131" t="str">
        <f t="shared" si="1"/>
        <v>Englisch</v>
      </c>
      <c r="H23" s="132" t="str">
        <f t="shared" si="0"/>
        <v>E5</v>
      </c>
      <c r="N23" s="80"/>
      <c r="O23" s="81"/>
      <c r="P23" s="79"/>
      <c r="Q23"/>
      <c r="R23"/>
      <c r="S23"/>
      <c r="T23"/>
      <c r="U23"/>
    </row>
    <row r="24" spans="1:21" s="13" customFormat="1" ht="20.100000000000001" customHeight="1" x14ac:dyDescent="0.2">
      <c r="A24" s="18">
        <v>6</v>
      </c>
      <c r="B24" s="106"/>
      <c r="C24" s="531" t="s">
        <v>64</v>
      </c>
      <c r="D24" s="531" t="s">
        <v>98</v>
      </c>
      <c r="E24" s="532" t="s">
        <v>374</v>
      </c>
      <c r="F24" s="87"/>
      <c r="G24" s="131" t="str">
        <f t="shared" si="1"/>
        <v>Englisch</v>
      </c>
      <c r="H24" s="132" t="str">
        <f t="shared" si="0"/>
        <v>E5</v>
      </c>
      <c r="N24" s="80"/>
      <c r="O24" s="81"/>
      <c r="P24" s="79"/>
      <c r="Q24"/>
      <c r="R24"/>
      <c r="S24"/>
      <c r="T24"/>
      <c r="U24"/>
    </row>
    <row r="25" spans="1:21" s="13" customFormat="1" ht="20.100000000000001" customHeight="1" x14ac:dyDescent="0.2">
      <c r="A25" s="18">
        <v>7</v>
      </c>
      <c r="B25" s="106"/>
      <c r="C25" s="531" t="s">
        <v>65</v>
      </c>
      <c r="D25" s="531" t="s">
        <v>99</v>
      </c>
      <c r="E25" s="532" t="s">
        <v>375</v>
      </c>
      <c r="F25" s="87"/>
      <c r="G25" s="131" t="str">
        <f t="shared" si="1"/>
        <v>Englisch</v>
      </c>
      <c r="H25" s="132" t="str">
        <f t="shared" si="0"/>
        <v>E5</v>
      </c>
      <c r="N25" s="80"/>
      <c r="O25" s="81"/>
      <c r="P25" s="79"/>
      <c r="Q25"/>
      <c r="R25"/>
      <c r="S25"/>
      <c r="T25"/>
      <c r="U25"/>
    </row>
    <row r="26" spans="1:21" s="13" customFormat="1" ht="20.100000000000001" customHeight="1" x14ac:dyDescent="0.2">
      <c r="A26" s="18">
        <v>8</v>
      </c>
      <c r="B26" s="106"/>
      <c r="C26" s="119" t="s">
        <v>66</v>
      </c>
      <c r="D26" s="119" t="s">
        <v>100</v>
      </c>
      <c r="E26" s="120" t="s">
        <v>298</v>
      </c>
      <c r="F26" s="87"/>
      <c r="G26" s="131" t="str">
        <f t="shared" si="1"/>
        <v>Englisch</v>
      </c>
      <c r="H26" s="132" t="str">
        <f t="shared" si="0"/>
        <v>E5</v>
      </c>
      <c r="N26"/>
      <c r="O26" s="81"/>
      <c r="P26" s="79"/>
      <c r="Q26"/>
      <c r="R26"/>
      <c r="S26"/>
      <c r="T26"/>
      <c r="U26"/>
    </row>
    <row r="27" spans="1:21" s="13" customFormat="1" ht="20.100000000000001" customHeight="1" x14ac:dyDescent="0.2">
      <c r="A27" s="18">
        <v>9</v>
      </c>
      <c r="B27" s="106"/>
      <c r="C27" s="121" t="s">
        <v>67</v>
      </c>
      <c r="D27" s="121" t="s">
        <v>101</v>
      </c>
      <c r="E27" s="122" t="s">
        <v>299</v>
      </c>
      <c r="F27" s="87"/>
      <c r="G27" s="131" t="str">
        <f t="shared" si="1"/>
        <v>Englisch</v>
      </c>
      <c r="H27" s="132" t="str">
        <f t="shared" si="0"/>
        <v>E5</v>
      </c>
      <c r="N27"/>
      <c r="O27" s="81"/>
      <c r="P27" s="79"/>
      <c r="Q27"/>
      <c r="R27"/>
      <c r="S27"/>
      <c r="T27"/>
      <c r="U27"/>
    </row>
    <row r="28" spans="1:21" s="13" customFormat="1" ht="20.100000000000001" customHeight="1" x14ac:dyDescent="0.2">
      <c r="A28" s="18">
        <v>10</v>
      </c>
      <c r="B28" s="106"/>
      <c r="C28" s="121" t="s">
        <v>68</v>
      </c>
      <c r="D28" s="121" t="s">
        <v>102</v>
      </c>
      <c r="E28" s="122" t="s">
        <v>300</v>
      </c>
      <c r="F28" s="87"/>
      <c r="G28" s="131" t="str">
        <f t="shared" si="1"/>
        <v>Englisch</v>
      </c>
      <c r="H28" s="132" t="str">
        <f t="shared" si="0"/>
        <v>E5</v>
      </c>
      <c r="N28"/>
      <c r="O28" s="81"/>
      <c r="P28" s="79"/>
      <c r="Q28"/>
      <c r="R28"/>
      <c r="S28"/>
      <c r="T28"/>
      <c r="U28"/>
    </row>
    <row r="29" spans="1:21" s="13" customFormat="1" ht="20.100000000000001" customHeight="1" x14ac:dyDescent="0.2">
      <c r="A29" s="18">
        <v>11</v>
      </c>
      <c r="B29" s="106"/>
      <c r="C29" s="121" t="s">
        <v>69</v>
      </c>
      <c r="D29" s="121" t="s">
        <v>103</v>
      </c>
      <c r="E29" s="122" t="s">
        <v>301</v>
      </c>
      <c r="F29" s="87"/>
      <c r="G29" s="131" t="str">
        <f t="shared" si="1"/>
        <v>Englisch</v>
      </c>
      <c r="H29" s="132" t="str">
        <f t="shared" si="0"/>
        <v>E5</v>
      </c>
      <c r="N29"/>
      <c r="O29" s="81"/>
      <c r="P29" s="79"/>
      <c r="Q29"/>
      <c r="R29"/>
      <c r="S29"/>
      <c r="T29"/>
      <c r="U29"/>
    </row>
    <row r="30" spans="1:21" s="13" customFormat="1" ht="20.100000000000001" customHeight="1" x14ac:dyDescent="0.2">
      <c r="A30" s="18">
        <v>12</v>
      </c>
      <c r="B30" s="106"/>
      <c r="C30" s="121" t="s">
        <v>70</v>
      </c>
      <c r="D30" s="121" t="s">
        <v>104</v>
      </c>
      <c r="E30" s="122" t="s">
        <v>302</v>
      </c>
      <c r="F30" s="87"/>
      <c r="G30" s="131" t="str">
        <f t="shared" si="1"/>
        <v>Englisch</v>
      </c>
      <c r="H30" s="132" t="str">
        <f t="shared" si="0"/>
        <v>E5</v>
      </c>
    </row>
    <row r="31" spans="1:21" s="13" customFormat="1" ht="20.100000000000001" customHeight="1" x14ac:dyDescent="0.2">
      <c r="A31" s="18">
        <v>13</v>
      </c>
      <c r="B31" s="106"/>
      <c r="C31" s="121" t="s">
        <v>71</v>
      </c>
      <c r="D31" s="121" t="s">
        <v>105</v>
      </c>
      <c r="E31" s="122" t="s">
        <v>303</v>
      </c>
      <c r="F31" s="87"/>
      <c r="G31" s="131" t="str">
        <f t="shared" si="1"/>
        <v>Englisch</v>
      </c>
      <c r="H31" s="132" t="str">
        <f t="shared" si="0"/>
        <v>E5</v>
      </c>
    </row>
    <row r="32" spans="1:21" s="13" customFormat="1" ht="20.100000000000001" customHeight="1" x14ac:dyDescent="0.2">
      <c r="A32" s="18">
        <v>14</v>
      </c>
      <c r="B32" s="106"/>
      <c r="C32" s="121" t="s">
        <v>72</v>
      </c>
      <c r="D32" s="121" t="s">
        <v>106</v>
      </c>
      <c r="E32" s="122" t="s">
        <v>304</v>
      </c>
      <c r="F32" s="87"/>
      <c r="G32" s="131" t="str">
        <f t="shared" si="1"/>
        <v>Englisch</v>
      </c>
      <c r="H32" s="132" t="str">
        <f t="shared" si="0"/>
        <v>E5</v>
      </c>
    </row>
    <row r="33" spans="1:8" s="13" customFormat="1" ht="20.100000000000001" customHeight="1" x14ac:dyDescent="0.2">
      <c r="A33" s="18">
        <v>15</v>
      </c>
      <c r="B33" s="106"/>
      <c r="C33" s="121" t="s">
        <v>73</v>
      </c>
      <c r="D33" s="121" t="s">
        <v>107</v>
      </c>
      <c r="E33" s="122" t="s">
        <v>305</v>
      </c>
      <c r="F33" s="87"/>
      <c r="G33" s="131" t="str">
        <f t="shared" si="1"/>
        <v>Englisch</v>
      </c>
      <c r="H33" s="132" t="str">
        <f t="shared" si="0"/>
        <v>E5</v>
      </c>
    </row>
    <row r="34" spans="1:8" s="13" customFormat="1" ht="20.100000000000001" customHeight="1" x14ac:dyDescent="0.2">
      <c r="A34" s="18">
        <v>16</v>
      </c>
      <c r="B34" s="106"/>
      <c r="C34" s="121" t="s">
        <v>74</v>
      </c>
      <c r="D34" s="121" t="s">
        <v>108</v>
      </c>
      <c r="E34" s="122" t="s">
        <v>306</v>
      </c>
      <c r="F34" s="87"/>
      <c r="G34" s="131" t="str">
        <f t="shared" si="1"/>
        <v>Englisch</v>
      </c>
      <c r="H34" s="132" t="str">
        <f t="shared" si="0"/>
        <v>E5</v>
      </c>
    </row>
    <row r="35" spans="1:8" s="13" customFormat="1" ht="20.100000000000001" customHeight="1" x14ac:dyDescent="0.2">
      <c r="A35" s="18">
        <v>17</v>
      </c>
      <c r="B35" s="106"/>
      <c r="C35" s="121" t="s">
        <v>75</v>
      </c>
      <c r="D35" s="121" t="s">
        <v>109</v>
      </c>
      <c r="E35" s="122" t="s">
        <v>307</v>
      </c>
      <c r="F35" s="87"/>
      <c r="G35" s="131" t="str">
        <f t="shared" si="1"/>
        <v>Englisch</v>
      </c>
      <c r="H35" s="132" t="str">
        <f t="shared" si="0"/>
        <v>E5</v>
      </c>
    </row>
    <row r="36" spans="1:8" s="13" customFormat="1" ht="20.100000000000001" customHeight="1" x14ac:dyDescent="0.2">
      <c r="A36" s="18">
        <v>18</v>
      </c>
      <c r="B36" s="106"/>
      <c r="C36" s="121" t="s">
        <v>76</v>
      </c>
      <c r="D36" s="121" t="s">
        <v>110</v>
      </c>
      <c r="E36" s="122" t="s">
        <v>308</v>
      </c>
      <c r="F36" s="87"/>
      <c r="G36" s="131" t="str">
        <f t="shared" si="1"/>
        <v>Englisch</v>
      </c>
      <c r="H36" s="132" t="str">
        <f t="shared" si="0"/>
        <v>E5</v>
      </c>
    </row>
    <row r="37" spans="1:8" s="13" customFormat="1" ht="20.100000000000001" customHeight="1" x14ac:dyDescent="0.2">
      <c r="A37" s="18">
        <v>19</v>
      </c>
      <c r="B37" s="106"/>
      <c r="C37" s="121" t="s">
        <v>77</v>
      </c>
      <c r="D37" s="121" t="s">
        <v>111</v>
      </c>
      <c r="E37" s="122" t="s">
        <v>309</v>
      </c>
      <c r="F37" s="87"/>
      <c r="G37" s="131" t="str">
        <f t="shared" si="1"/>
        <v>Englisch</v>
      </c>
      <c r="H37" s="132" t="str">
        <f t="shared" si="0"/>
        <v>E5</v>
      </c>
    </row>
    <row r="38" spans="1:8" s="13" customFormat="1" ht="20.100000000000001" customHeight="1" x14ac:dyDescent="0.2">
      <c r="A38" s="18">
        <v>20</v>
      </c>
      <c r="B38" s="106"/>
      <c r="C38" s="121" t="s">
        <v>78</v>
      </c>
      <c r="D38" s="121" t="s">
        <v>112</v>
      </c>
      <c r="E38" s="122" t="s">
        <v>310</v>
      </c>
      <c r="F38" s="87"/>
      <c r="G38" s="131" t="str">
        <f t="shared" si="1"/>
        <v>Englisch</v>
      </c>
      <c r="H38" s="132" t="str">
        <f t="shared" si="0"/>
        <v>E5</v>
      </c>
    </row>
    <row r="39" spans="1:8" s="13" customFormat="1" ht="20.100000000000001" customHeight="1" x14ac:dyDescent="0.2">
      <c r="A39" s="18">
        <v>21</v>
      </c>
      <c r="B39" s="106"/>
      <c r="C39" s="121" t="s">
        <v>79</v>
      </c>
      <c r="D39" s="121" t="s">
        <v>113</v>
      </c>
      <c r="E39" s="122" t="s">
        <v>311</v>
      </c>
      <c r="F39" s="87"/>
      <c r="G39" s="131" t="str">
        <f t="shared" si="1"/>
        <v>Englisch</v>
      </c>
      <c r="H39" s="132" t="str">
        <f t="shared" si="0"/>
        <v>E5</v>
      </c>
    </row>
    <row r="40" spans="1:8" s="13" customFormat="1" ht="20.100000000000001" customHeight="1" x14ac:dyDescent="0.2">
      <c r="A40" s="18">
        <v>22</v>
      </c>
      <c r="B40" s="106"/>
      <c r="C40" s="121" t="s">
        <v>80</v>
      </c>
      <c r="D40" s="121" t="s">
        <v>114</v>
      </c>
      <c r="E40" s="122" t="s">
        <v>312</v>
      </c>
      <c r="F40" s="87"/>
      <c r="G40" s="131" t="str">
        <f t="shared" si="1"/>
        <v>Englisch</v>
      </c>
      <c r="H40" s="132" t="str">
        <f t="shared" si="0"/>
        <v>E5</v>
      </c>
    </row>
    <row r="41" spans="1:8" s="13" customFormat="1" ht="20.100000000000001" customHeight="1" x14ac:dyDescent="0.2">
      <c r="A41" s="18">
        <v>23</v>
      </c>
      <c r="B41" s="106"/>
      <c r="C41" s="121" t="s">
        <v>81</v>
      </c>
      <c r="D41" s="121" t="s">
        <v>115</v>
      </c>
      <c r="E41" s="122" t="s">
        <v>313</v>
      </c>
      <c r="F41" s="87"/>
      <c r="G41" s="131" t="str">
        <f t="shared" si="1"/>
        <v>Englisch</v>
      </c>
      <c r="H41" s="132" t="str">
        <f t="shared" si="0"/>
        <v>E5</v>
      </c>
    </row>
    <row r="42" spans="1:8" s="13" customFormat="1" ht="20.100000000000001" customHeight="1" x14ac:dyDescent="0.2">
      <c r="A42" s="18">
        <v>24</v>
      </c>
      <c r="B42" s="106"/>
      <c r="C42" s="121" t="s">
        <v>82</v>
      </c>
      <c r="D42" s="121" t="s">
        <v>116</v>
      </c>
      <c r="E42" s="122" t="s">
        <v>314</v>
      </c>
      <c r="F42" s="87"/>
      <c r="G42" s="131" t="str">
        <f t="shared" si="1"/>
        <v>Englisch</v>
      </c>
      <c r="H42" s="132" t="str">
        <f t="shared" si="0"/>
        <v>E5</v>
      </c>
    </row>
    <row r="43" spans="1:8" s="13" customFormat="1" ht="20.100000000000001" customHeight="1" x14ac:dyDescent="0.2">
      <c r="A43" s="18">
        <v>25</v>
      </c>
      <c r="B43" s="106"/>
      <c r="C43" s="121" t="s">
        <v>83</v>
      </c>
      <c r="D43" s="121" t="s">
        <v>117</v>
      </c>
      <c r="E43" s="122" t="s">
        <v>315</v>
      </c>
      <c r="F43" s="87"/>
      <c r="G43" s="131" t="str">
        <f t="shared" si="1"/>
        <v>Englisch</v>
      </c>
      <c r="H43" s="132" t="str">
        <f t="shared" si="0"/>
        <v>E5</v>
      </c>
    </row>
    <row r="44" spans="1:8" s="13" customFormat="1" ht="20.100000000000001" customHeight="1" x14ac:dyDescent="0.2">
      <c r="A44" s="18">
        <v>26</v>
      </c>
      <c r="B44" s="106"/>
      <c r="C44" s="121" t="s">
        <v>84</v>
      </c>
      <c r="D44" s="121" t="s">
        <v>118</v>
      </c>
      <c r="E44" s="122" t="s">
        <v>316</v>
      </c>
      <c r="F44" s="87"/>
      <c r="G44" s="131" t="str">
        <f t="shared" si="1"/>
        <v>Englisch</v>
      </c>
      <c r="H44" s="132" t="str">
        <f t="shared" si="0"/>
        <v>E5</v>
      </c>
    </row>
    <row r="45" spans="1:8" s="13" customFormat="1" ht="20.100000000000001" customHeight="1" x14ac:dyDescent="0.2">
      <c r="A45" s="18">
        <v>27</v>
      </c>
      <c r="B45" s="106"/>
      <c r="C45" s="121" t="s">
        <v>85</v>
      </c>
      <c r="D45" s="121" t="s">
        <v>119</v>
      </c>
      <c r="E45" s="122" t="s">
        <v>317</v>
      </c>
      <c r="F45" s="87"/>
      <c r="G45" s="131" t="str">
        <f t="shared" si="1"/>
        <v>Englisch</v>
      </c>
      <c r="H45" s="132" t="str">
        <f t="shared" si="0"/>
        <v>E5</v>
      </c>
    </row>
    <row r="46" spans="1:8" s="13" customFormat="1" ht="20.100000000000001" customHeight="1" x14ac:dyDescent="0.2">
      <c r="A46" s="18">
        <v>28</v>
      </c>
      <c r="B46" s="106"/>
      <c r="C46" s="121" t="s">
        <v>176</v>
      </c>
      <c r="D46" s="121" t="s">
        <v>177</v>
      </c>
      <c r="E46" s="122" t="s">
        <v>318</v>
      </c>
      <c r="F46" s="87"/>
      <c r="G46" s="131" t="str">
        <f t="shared" si="1"/>
        <v>Englisch</v>
      </c>
      <c r="H46" s="132" t="str">
        <f t="shared" si="0"/>
        <v>E5</v>
      </c>
    </row>
    <row r="47" spans="1:8" s="13" customFormat="1" ht="20.100000000000001" customHeight="1" x14ac:dyDescent="0.2">
      <c r="A47" s="18">
        <v>29</v>
      </c>
      <c r="B47" s="106"/>
      <c r="C47" s="121" t="s">
        <v>168</v>
      </c>
      <c r="D47" s="121" t="s">
        <v>178</v>
      </c>
      <c r="E47" s="122" t="s">
        <v>319</v>
      </c>
      <c r="F47" s="87"/>
      <c r="G47" s="131" t="str">
        <f t="shared" si="1"/>
        <v>Englisch</v>
      </c>
      <c r="H47" s="132" t="str">
        <f t="shared" si="0"/>
        <v>E5</v>
      </c>
    </row>
    <row r="48" spans="1:8" s="13" customFormat="1" ht="20.100000000000001" customHeight="1" x14ac:dyDescent="0.2">
      <c r="A48" s="18">
        <v>30</v>
      </c>
      <c r="B48" s="106"/>
      <c r="C48" s="121" t="s">
        <v>169</v>
      </c>
      <c r="D48" s="121" t="s">
        <v>179</v>
      </c>
      <c r="E48" s="122" t="s">
        <v>320</v>
      </c>
      <c r="F48" s="87"/>
      <c r="G48" s="131" t="str">
        <f t="shared" si="1"/>
        <v>Englisch</v>
      </c>
      <c r="H48" s="132" t="str">
        <f t="shared" si="0"/>
        <v>E5</v>
      </c>
    </row>
    <row r="49" spans="1:8" s="13" customFormat="1" ht="20.100000000000001" customHeight="1" x14ac:dyDescent="0.2">
      <c r="A49" s="18">
        <v>31</v>
      </c>
      <c r="B49" s="106"/>
      <c r="C49" s="121" t="s">
        <v>170</v>
      </c>
      <c r="D49" s="121" t="s">
        <v>180</v>
      </c>
      <c r="E49" s="122" t="s">
        <v>321</v>
      </c>
      <c r="F49" s="87"/>
      <c r="G49" s="131" t="str">
        <f t="shared" si="1"/>
        <v>Englisch</v>
      </c>
      <c r="H49" s="132" t="str">
        <f t="shared" si="0"/>
        <v>E5</v>
      </c>
    </row>
    <row r="50" spans="1:8" s="13" customFormat="1" ht="20.100000000000001" customHeight="1" x14ac:dyDescent="0.2">
      <c r="A50" s="18">
        <v>32</v>
      </c>
      <c r="B50" s="106"/>
      <c r="C50" s="121" t="s">
        <v>171</v>
      </c>
      <c r="D50" s="121" t="s">
        <v>181</v>
      </c>
      <c r="E50" s="122" t="s">
        <v>322</v>
      </c>
      <c r="F50" s="87"/>
      <c r="G50" s="131" t="str">
        <f t="shared" si="1"/>
        <v>Englisch</v>
      </c>
      <c r="H50" s="132" t="str">
        <f t="shared" si="0"/>
        <v>E5</v>
      </c>
    </row>
    <row r="51" spans="1:8" s="13" customFormat="1" ht="20.100000000000001" customHeight="1" x14ac:dyDescent="0.2">
      <c r="A51" s="18">
        <v>33</v>
      </c>
      <c r="B51" s="106"/>
      <c r="C51" s="121" t="s">
        <v>172</v>
      </c>
      <c r="D51" s="121" t="s">
        <v>182</v>
      </c>
      <c r="E51" s="122" t="s">
        <v>323</v>
      </c>
      <c r="F51" s="87"/>
      <c r="G51" s="131" t="str">
        <f t="shared" si="1"/>
        <v>Englisch</v>
      </c>
      <c r="H51" s="132" t="str">
        <f t="shared" si="0"/>
        <v>E5</v>
      </c>
    </row>
    <row r="52" spans="1:8" s="13" customFormat="1" ht="20.100000000000001" customHeight="1" x14ac:dyDescent="0.2">
      <c r="A52" s="18">
        <v>34</v>
      </c>
      <c r="B52" s="106"/>
      <c r="C52" s="121" t="s">
        <v>173</v>
      </c>
      <c r="D52" s="121" t="s">
        <v>183</v>
      </c>
      <c r="E52" s="122" t="s">
        <v>324</v>
      </c>
      <c r="F52" s="87"/>
      <c r="G52" s="131" t="str">
        <f t="shared" si="1"/>
        <v>Englisch</v>
      </c>
      <c r="H52" s="132" t="str">
        <f t="shared" si="0"/>
        <v>E5</v>
      </c>
    </row>
    <row r="53" spans="1:8" s="13" customFormat="1" ht="20.100000000000001" customHeight="1" x14ac:dyDescent="0.2">
      <c r="A53" s="18">
        <v>35</v>
      </c>
      <c r="B53" s="106"/>
      <c r="C53" s="121" t="s">
        <v>174</v>
      </c>
      <c r="D53" s="121" t="s">
        <v>184</v>
      </c>
      <c r="E53" s="122" t="s">
        <v>325</v>
      </c>
      <c r="F53" s="87"/>
      <c r="G53" s="131" t="str">
        <f t="shared" si="1"/>
        <v>Englisch</v>
      </c>
      <c r="H53" s="132" t="str">
        <f t="shared" si="0"/>
        <v>E5</v>
      </c>
    </row>
    <row r="54" spans="1:8" s="13" customFormat="1" ht="20.100000000000001" customHeight="1" thickBot="1" x14ac:dyDescent="0.25">
      <c r="A54" s="18">
        <v>36</v>
      </c>
      <c r="B54" s="106"/>
      <c r="C54" s="121" t="s">
        <v>175</v>
      </c>
      <c r="D54" s="121" t="s">
        <v>185</v>
      </c>
      <c r="E54" s="123" t="s">
        <v>326</v>
      </c>
      <c r="F54" s="115"/>
      <c r="G54" s="133" t="str">
        <f t="shared" si="1"/>
        <v>Englisch</v>
      </c>
      <c r="H54" s="132" t="str">
        <f t="shared" si="0"/>
        <v>E5</v>
      </c>
    </row>
    <row r="55" spans="1:8" s="13" customFormat="1" ht="18" customHeight="1" thickTop="1" x14ac:dyDescent="0.2">
      <c r="A55" s="18"/>
      <c r="B55" s="19"/>
      <c r="C55" s="70"/>
      <c r="D55" s="70"/>
      <c r="E55" s="70"/>
      <c r="F55" s="116"/>
      <c r="G55" s="116"/>
      <c r="H55" s="116"/>
    </row>
    <row r="56" spans="1:8" s="13" customFormat="1" x14ac:dyDescent="0.2">
      <c r="A56" s="37"/>
      <c r="B56" s="63"/>
      <c r="C56" s="16"/>
      <c r="D56" s="16"/>
      <c r="E56" s="16"/>
    </row>
    <row r="57" spans="1:8" s="13" customFormat="1" x14ac:dyDescent="0.2">
      <c r="A57" s="37"/>
      <c r="B57" s="63"/>
      <c r="C57" s="16"/>
      <c r="D57" s="16"/>
      <c r="E57" s="16"/>
    </row>
    <row r="58" spans="1:8" s="13" customFormat="1" x14ac:dyDescent="0.2">
      <c r="A58" s="37"/>
      <c r="B58" s="63"/>
    </row>
    <row r="59" spans="1:8" s="13" customFormat="1" x14ac:dyDescent="0.2">
      <c r="A59" s="37"/>
      <c r="B59" s="63"/>
    </row>
    <row r="60" spans="1:8" s="13" customFormat="1" x14ac:dyDescent="0.2"/>
    <row r="61" spans="1:8" s="13" customFormat="1" x14ac:dyDescent="0.2"/>
    <row r="62" spans="1:8" s="13" customFormat="1" x14ac:dyDescent="0.2"/>
    <row r="63" spans="1:8" s="13" customFormat="1" x14ac:dyDescent="0.2"/>
    <row r="64" spans="1:8" s="13" customFormat="1" x14ac:dyDescent="0.2"/>
    <row r="65" s="13" customFormat="1" x14ac:dyDescent="0.2"/>
    <row r="66" s="13" customFormat="1" x14ac:dyDescent="0.2"/>
    <row r="67" s="13" customFormat="1" x14ac:dyDescent="0.2"/>
    <row r="68" s="13" customFormat="1" x14ac:dyDescent="0.2"/>
    <row r="69" s="13" customFormat="1" x14ac:dyDescent="0.2"/>
    <row r="70" s="13" customFormat="1" x14ac:dyDescent="0.2"/>
    <row r="71" s="13" customFormat="1" x14ac:dyDescent="0.2"/>
    <row r="72" s="13" customFormat="1" x14ac:dyDescent="0.2"/>
    <row r="73" s="13" customFormat="1" x14ac:dyDescent="0.2"/>
    <row r="74" s="13" customFormat="1" x14ac:dyDescent="0.2"/>
    <row r="75" s="13" customFormat="1" x14ac:dyDescent="0.2"/>
    <row r="76" s="13" customFormat="1" x14ac:dyDescent="0.2"/>
    <row r="77" s="13" customFormat="1" x14ac:dyDescent="0.2"/>
    <row r="78" s="13" customFormat="1" x14ac:dyDescent="0.2"/>
    <row r="79" s="13" customFormat="1" x14ac:dyDescent="0.2"/>
    <row r="80" s="13" customFormat="1" x14ac:dyDescent="0.2"/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</sheetData>
  <sheetProtection sheet="1" objects="1" scenarios="1"/>
  <mergeCells count="3">
    <mergeCell ref="C14:C15"/>
    <mergeCell ref="D14:D15"/>
    <mergeCell ref="E14:E15"/>
  </mergeCells>
  <phoneticPr fontId="10" type="noConversion"/>
  <conditionalFormatting sqref="I9 I11:I12">
    <cfRule type="expression" dxfId="98" priority="1" stopIfTrue="1">
      <formula>IF($H9&lt;&gt;"",TRUE,FALSE)</formula>
    </cfRule>
  </conditionalFormatting>
  <conditionalFormatting sqref="F19:F54">
    <cfRule type="cellIs" dxfId="97" priority="2" stopIfTrue="1" operator="equal">
      <formula>"F"</formula>
    </cfRule>
    <cfRule type="cellIs" dxfId="96" priority="3" stopIfTrue="1" operator="equal">
      <formula>"L"</formula>
    </cfRule>
  </conditionalFormatting>
  <conditionalFormatting sqref="G19:G54">
    <cfRule type="cellIs" dxfId="95" priority="4" stopIfTrue="1" operator="notEqual">
      <formula>""</formula>
    </cfRule>
  </conditionalFormatting>
  <conditionalFormatting sqref="C19:C54">
    <cfRule type="expression" dxfId="94" priority="5" stopIfTrue="1">
      <formula>LEFT(C19,3)="NN "</formula>
    </cfRule>
  </conditionalFormatting>
  <conditionalFormatting sqref="D19:D54">
    <cfRule type="expression" dxfId="93" priority="6" stopIfTrue="1">
      <formula>LEFT(D19,3)="VN "</formula>
    </cfRule>
  </conditionalFormatting>
  <conditionalFormatting sqref="E19:E54">
    <cfRule type="expression" dxfId="92" priority="7" stopIfTrue="1">
      <formula>LEFT(E19,3)="GD "</formula>
    </cfRule>
  </conditionalFormatting>
  <printOptions gridLinesSet="0"/>
  <pageMargins left="0.59055118110236227" right="0" top="0.59055118110236227" bottom="0.39370078740157483" header="0" footer="0"/>
  <pageSetup paperSize="9" orientation="portrait" horizontalDpi="240" verticalDpi="14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>
    <pageSetUpPr autoPageBreaks="0"/>
  </sheetPr>
  <dimension ref="A1:CN179"/>
  <sheetViews>
    <sheetView showGridLines="0" workbookViewId="0"/>
  </sheetViews>
  <sheetFormatPr baseColWidth="10" defaultColWidth="10.7109375" defaultRowHeight="12.75" x14ac:dyDescent="0.2"/>
  <cols>
    <col min="1" max="1" width="3.7109375" style="9" customWidth="1"/>
    <col min="2" max="2" width="9.85546875" style="9" customWidth="1"/>
    <col min="3" max="3" width="102.7109375" style="9" customWidth="1"/>
    <col min="4" max="4" width="27.140625" style="9" customWidth="1"/>
    <col min="5" max="16384" width="10.7109375" style="9"/>
  </cols>
  <sheetData>
    <row r="1" spans="1:92" x14ac:dyDescent="0.2">
      <c r="A1" s="148"/>
      <c r="B1" s="148"/>
      <c r="C1" s="284" t="s">
        <v>336</v>
      </c>
      <c r="D1" s="148"/>
      <c r="E1" s="148"/>
      <c r="F1"/>
      <c r="G1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</row>
    <row r="2" spans="1:92" x14ac:dyDescent="0.2">
      <c r="A2" s="148"/>
      <c r="B2" s="148"/>
      <c r="C2" s="227" t="str">
        <f>"Den grün unterlegten Bereich unten, also die Zellen Z18S3 bis Z"&amp;18+Vorgaben!$H$13*3&amp;"S3 markieren und in eine einfache"</f>
        <v>Den grün unterlegten Bereich unten, also die Zellen Z18S3 bis Z126S3 markieren und in eine einfache</v>
      </c>
      <c r="D2" s="148"/>
      <c r="E2" s="148"/>
      <c r="F2"/>
      <c r="G2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</row>
    <row r="3" spans="1:92" x14ac:dyDescent="0.2">
      <c r="A3" s="264"/>
      <c r="B3" s="148"/>
      <c r="C3" s="227" t="s">
        <v>389</v>
      </c>
      <c r="D3" s="148"/>
      <c r="E3" s="148"/>
      <c r="F3"/>
      <c r="G3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</row>
    <row r="4" spans="1:92" x14ac:dyDescent="0.2">
      <c r="A4" s="141"/>
      <c r="B4" s="148"/>
      <c r="C4" s="520" t="s">
        <v>390</v>
      </c>
      <c r="D4" s="148"/>
      <c r="E4" s="148"/>
      <c r="F4"/>
      <c r="G4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</row>
    <row r="5" spans="1:92" x14ac:dyDescent="0.2">
      <c r="A5" s="141"/>
      <c r="B5" s="141"/>
      <c r="C5" s="227" t="str">
        <f>"Diese Editor-Datei speichern ( Datei  &gt; Speichern unter... z.B.: ZP-10-Noten-"&amp;Vorgaben!$G$6&amp;".txt , Speicherort notieren)"</f>
        <v>Diese Editor-Datei speichern ( Datei  &gt; Speichern unter... z.B.: ZP-10-Noten-20.txt , Speicherort notieren)</v>
      </c>
      <c r="D5" s="148"/>
      <c r="E5" s="141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</row>
    <row r="6" spans="1:92" x14ac:dyDescent="0.2">
      <c r="A6" s="141"/>
      <c r="B6" s="141"/>
      <c r="C6" s="232" t="s">
        <v>392</v>
      </c>
      <c r="D6" s="148"/>
      <c r="E6" s="141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</row>
    <row r="7" spans="1:92" x14ac:dyDescent="0.2">
      <c r="A7" s="141"/>
      <c r="B7" s="141"/>
      <c r="C7" s="148" t="s">
        <v>388</v>
      </c>
      <c r="D7" s="148"/>
      <c r="E7" s="141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</row>
    <row r="8" spans="1:92" x14ac:dyDescent="0.2">
      <c r="A8" s="141"/>
      <c r="B8" s="141"/>
      <c r="C8" s="148" t="s">
        <v>391</v>
      </c>
      <c r="D8" s="148"/>
      <c r="E8" s="141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</row>
    <row r="9" spans="1:92" x14ac:dyDescent="0.2">
      <c r="A9" s="141"/>
      <c r="B9" s="141"/>
      <c r="C9" s="232" t="s">
        <v>395</v>
      </c>
      <c r="D9" s="148"/>
      <c r="E9" s="141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</row>
    <row r="10" spans="1:92" x14ac:dyDescent="0.2">
      <c r="A10" s="141"/>
      <c r="B10" s="141"/>
      <c r="C10" s="232" t="s">
        <v>396</v>
      </c>
      <c r="D10" s="148"/>
      <c r="E10" s="141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</row>
    <row r="11" spans="1:92" x14ac:dyDescent="0.2">
      <c r="A11" s="141"/>
      <c r="B11" s="148"/>
      <c r="C11" s="232" t="s">
        <v>394</v>
      </c>
      <c r="D11" s="148"/>
      <c r="E11" s="141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</row>
    <row r="12" spans="1:92" x14ac:dyDescent="0.2">
      <c r="A12" s="141"/>
      <c r="B12" s="148"/>
      <c r="C12" s="148"/>
      <c r="D12" s="148"/>
      <c r="E12" s="141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</row>
    <row r="13" spans="1:92" x14ac:dyDescent="0.2">
      <c r="A13" s="141"/>
      <c r="B13" s="148"/>
      <c r="C13" s="148" t="s">
        <v>397</v>
      </c>
      <c r="D13" s="148"/>
      <c r="E13" s="141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</row>
    <row r="14" spans="1:92" ht="12.75" customHeight="1" x14ac:dyDescent="0.2">
      <c r="A14" s="141"/>
      <c r="B14" s="148"/>
      <c r="C14" s="148" t="s">
        <v>398</v>
      </c>
      <c r="D14" s="148"/>
      <c r="E14" s="141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</row>
    <row r="15" spans="1:92" x14ac:dyDescent="0.2">
      <c r="A15" s="141"/>
      <c r="B15" s="148"/>
      <c r="C15" s="148"/>
      <c r="D15" s="148"/>
      <c r="E15" s="141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</row>
    <row r="16" spans="1:92" s="13" customFormat="1" ht="15.95" customHeight="1" x14ac:dyDescent="0.2">
      <c r="A16" s="163"/>
      <c r="B16" s="141"/>
      <c r="C16" s="148" t="s">
        <v>393</v>
      </c>
      <c r="D16" s="148"/>
      <c r="E16" s="154"/>
    </row>
    <row r="17" spans="1:5" s="13" customFormat="1" ht="15.95" customHeight="1" x14ac:dyDescent="0.2">
      <c r="A17" s="160"/>
      <c r="B17" s="521" t="s">
        <v>334</v>
      </c>
      <c r="C17" s="154"/>
      <c r="D17" s="522"/>
      <c r="E17" s="154"/>
    </row>
    <row r="18" spans="1:5" s="13" customFormat="1" ht="15.95" customHeight="1" x14ac:dyDescent="0.2">
      <c r="A18" s="163"/>
      <c r="B18" s="164"/>
      <c r="C18" s="523" t="s">
        <v>343</v>
      </c>
      <c r="D18" s="524" t="s">
        <v>287</v>
      </c>
      <c r="E18" s="154"/>
    </row>
    <row r="19" spans="1:5" s="13" customFormat="1" ht="15.95" customHeight="1" x14ac:dyDescent="0.2">
      <c r="A19" s="167">
        <v>1</v>
      </c>
      <c r="B19" s="525" t="s">
        <v>276</v>
      </c>
      <c r="C19" s="526" t="str">
        <f>IF(VLOOKUP($A19,Vorgaben!$A$19:$H$54,3,FALSE)="","",(VLOOKUP($A19,Vorgaben!$A$19:$H$54,3,FALSE)&amp;$B$17&amp;VLOOKUP($A19,Vorgaben!$A$19:$H$54,4,FALSE)&amp;$B$17&amp;TEXT(VLOOKUP($A19,Vorgaben!$A$19:$H$54,5,FALSE),"TT.MM.JJJJ")&amp;$B$17&amp;$B19&amp;$B$17&amp;LEFT(VLOOKUP($A19,Deutsch!$A$19:$Z$54,26,FALSE),1)&amp;$B$17&amp;LEFT(VLOOKUP($A19,Deutsch!$A$19:$Z$54,6,FALSE),1)&amp;$B$17&amp;LEFT(VLOOKUP($A19,Deutsch!$A$19:$Z$54,8,FALSE),1)&amp;$B$17&amp;LEFT(VLOOKUP($A19,Deutsch!$A$19:$Z$54,16,FALSE),1)))</f>
        <v>NN 1;VN 1;GD 1;D;;;;</v>
      </c>
      <c r="D19" s="526"/>
      <c r="E19" s="154"/>
    </row>
    <row r="20" spans="1:5" s="13" customFormat="1" ht="15.95" customHeight="1" x14ac:dyDescent="0.2">
      <c r="A20" s="167">
        <v>1</v>
      </c>
      <c r="B20" s="525" t="str">
        <f>VLOOKUP($A20,Vorgaben!$A$19:$H$54,8,FALSE)</f>
        <v>E5</v>
      </c>
      <c r="C20" s="526" t="str">
        <f>IF(VLOOKUP($A20,Vorgaben!$A$19:$H$54,3,FALSE)="","",(VLOOKUP($A20,Vorgaben!$A$19:$H$54,3,FALSE)&amp;$B$17&amp;VLOOKUP($A20,Vorgaben!$A$19:$H$54,4,FALSE)&amp;$B$17&amp;TEXT(VLOOKUP($A20,Vorgaben!$A$19:$H$54,5,FALSE),"TT.MM.JJJJ")&amp;$B$17&amp;$B20&amp;$B$17&amp;LEFT(VLOOKUP($A20,Fremdsprache!$A$19:$Z$54,26,FALSE),1)&amp;$B$17&amp;LEFT(VLOOKUP($A20,Fremdsprache!$A$19:$Z$54,6,FALSE),1)&amp;$B$17&amp;LEFT(VLOOKUP($A20,Fremdsprache!$A$19:$Z$54,8,FALSE),1)&amp;$B$17&amp;LEFT(VLOOKUP($A20,Fremdsprache!$A$19:$Z$54,16,FALSE),1)))</f>
        <v>NN 1;VN 1;GD 1;E5;;;;</v>
      </c>
      <c r="D20" s="526"/>
      <c r="E20" s="154"/>
    </row>
    <row r="21" spans="1:5" s="13" customFormat="1" ht="15.95" customHeight="1" x14ac:dyDescent="0.2">
      <c r="A21" s="167">
        <v>1</v>
      </c>
      <c r="B21" s="525" t="s">
        <v>277</v>
      </c>
      <c r="C21" s="526" t="str">
        <f>IF(VLOOKUP($A21,Vorgaben!$A$19:$H$54,3,FALSE)="","",(VLOOKUP($A21,Vorgaben!$A$19:$H$54,3,FALSE)&amp;$B$17&amp;VLOOKUP($A21,Vorgaben!$A$19:$H$54,4,FALSE)&amp;$B$17&amp;TEXT(VLOOKUP($A21,Vorgaben!$A$19:$H$54,5,FALSE),"TT.MM.JJJJ")&amp;$B$17&amp;$B21&amp;$B$17&amp;LEFT(VLOOKUP($A21,Mathematik!$A$19:$Z$54,26,FALSE),1)&amp;$B$17&amp;LEFT(VLOOKUP($A21,Mathematik!$A$19:$Z$54,6,FALSE),1)&amp;$B$17&amp;LEFT(VLOOKUP($A21,Mathematik!$A$19:$Z$54,8,FALSE),1)&amp;$B$17&amp;LEFT(VLOOKUP($A21,Mathematik!$A$19:$Z$54,16,FALSE),1)))</f>
        <v>NN 1;VN 1;GD 1;M;;;;</v>
      </c>
      <c r="D21" s="526"/>
      <c r="E21" s="154"/>
    </row>
    <row r="22" spans="1:5" s="13" customFormat="1" ht="15.95" customHeight="1" x14ac:dyDescent="0.2">
      <c r="A22" s="167">
        <v>2</v>
      </c>
      <c r="B22" s="525" t="s">
        <v>276</v>
      </c>
      <c r="C22" s="526" t="str">
        <f>IF(VLOOKUP($A22,Vorgaben!$A$19:$H$54,3,FALSE)="","",(VLOOKUP($A22,Vorgaben!$A$19:$H$54,3,FALSE)&amp;$B$17&amp;VLOOKUP($A22,Vorgaben!$A$19:$H$54,4,FALSE)&amp;$B$17&amp;TEXT(VLOOKUP($A22,Vorgaben!$A$19:$H$54,5,FALSE),"TT.MM.JJJJ")&amp;$B$17&amp;$B22&amp;$B$17&amp;LEFT(VLOOKUP($A22,Deutsch!$A$19:$Z$54,26,FALSE),1)&amp;$B$17&amp;LEFT(VLOOKUP($A22,Deutsch!$A$19:$Z$54,6,FALSE),1)&amp;$B$17&amp;LEFT(VLOOKUP($A22,Deutsch!$A$19:$Z$54,8,FALSE),1)&amp;$B$17&amp;LEFT(VLOOKUP($A22,Deutsch!$A$19:$Z$54,16,FALSE),1)))</f>
        <v>NN 2;VN 2;GD 2;D;;;;</v>
      </c>
      <c r="D22" s="526"/>
      <c r="E22" s="154"/>
    </row>
    <row r="23" spans="1:5" s="13" customFormat="1" ht="15.95" customHeight="1" x14ac:dyDescent="0.2">
      <c r="A23" s="167">
        <v>2</v>
      </c>
      <c r="B23" s="525" t="str">
        <f>VLOOKUP($A23,Vorgaben!$A$19:$H$54,8,FALSE)</f>
        <v>E5</v>
      </c>
      <c r="C23" s="526" t="str">
        <f>IF(VLOOKUP($A23,Vorgaben!$A$19:$H$54,3,FALSE)="","",(VLOOKUP($A23,Vorgaben!$A$19:$H$54,3,FALSE)&amp;$B$17&amp;VLOOKUP($A23,Vorgaben!$A$19:$H$54,4,FALSE)&amp;$B$17&amp;TEXT(VLOOKUP($A23,Vorgaben!$A$19:$H$54,5,FALSE),"TT.MM.JJJJ")&amp;$B$17&amp;$B23&amp;$B$17&amp;LEFT(VLOOKUP($A23,Fremdsprache!$A$19:$Z$54,26,FALSE),1)&amp;$B$17&amp;LEFT(VLOOKUP($A23,Fremdsprache!$A$19:$Z$54,6,FALSE),1)&amp;$B$17&amp;LEFT(VLOOKUP($A23,Fremdsprache!$A$19:$Z$54,8,FALSE),1)&amp;$B$17&amp;LEFT(VLOOKUP($A23,Fremdsprache!$A$19:$Z$54,16,FALSE),1)))</f>
        <v>NN 2;VN 2;GD 2;E5;;;;</v>
      </c>
      <c r="D23" s="526"/>
      <c r="E23" s="154"/>
    </row>
    <row r="24" spans="1:5" s="13" customFormat="1" ht="15.95" customHeight="1" x14ac:dyDescent="0.2">
      <c r="A24" s="167">
        <v>2</v>
      </c>
      <c r="B24" s="525" t="s">
        <v>277</v>
      </c>
      <c r="C24" s="526" t="str">
        <f>IF(VLOOKUP($A24,Vorgaben!$A$19:$H$54,3,FALSE)="","",(VLOOKUP($A24,Vorgaben!$A$19:$H$54,3,FALSE)&amp;$B$17&amp;VLOOKUP($A24,Vorgaben!$A$19:$H$54,4,FALSE)&amp;$B$17&amp;TEXT(VLOOKUP($A24,Vorgaben!$A$19:$H$54,5,FALSE),"TT.MM.JJJJ")&amp;$B$17&amp;$B24&amp;$B$17&amp;LEFT(VLOOKUP($A24,Mathematik!$A$19:$Z$54,26,FALSE),1)&amp;$B$17&amp;LEFT(VLOOKUP($A24,Mathematik!$A$19:$Z$54,6,FALSE),1)&amp;$B$17&amp;LEFT(VLOOKUP($A24,Mathematik!$A$19:$Z$54,8,FALSE),1)&amp;$B$17&amp;LEFT(VLOOKUP($A24,Mathematik!$A$19:$Z$54,16,FALSE),1)))</f>
        <v>NN 2;VN 2;GD 2;M;;;;</v>
      </c>
      <c r="D24" s="526"/>
      <c r="E24" s="154"/>
    </row>
    <row r="25" spans="1:5" s="13" customFormat="1" ht="15.95" customHeight="1" x14ac:dyDescent="0.2">
      <c r="A25" s="167">
        <v>3</v>
      </c>
      <c r="B25" s="525" t="s">
        <v>276</v>
      </c>
      <c r="C25" s="526" t="str">
        <f>IF(VLOOKUP($A25,Vorgaben!$A$19:$H$54,3,FALSE)="","",(VLOOKUP($A25,Vorgaben!$A$19:$H$54,3,FALSE)&amp;$B$17&amp;VLOOKUP($A25,Vorgaben!$A$19:$H$54,4,FALSE)&amp;$B$17&amp;TEXT(VLOOKUP($A25,Vorgaben!$A$19:$H$54,5,FALSE),"TT.MM.JJJJ")&amp;$B$17&amp;$B25&amp;$B$17&amp;LEFT(VLOOKUP($A25,Deutsch!$A$19:$Z$54,26,FALSE),1)&amp;$B$17&amp;LEFT(VLOOKUP($A25,Deutsch!$A$19:$Z$54,6,FALSE),1)&amp;$B$17&amp;LEFT(VLOOKUP($A25,Deutsch!$A$19:$Z$54,8,FALSE),1)&amp;$B$17&amp;LEFT(VLOOKUP($A25,Deutsch!$A$19:$Z$54,16,FALSE),1)))</f>
        <v>NN 3;VN 3;GD 3;D;;;;</v>
      </c>
      <c r="D25" s="526"/>
      <c r="E25" s="154"/>
    </row>
    <row r="26" spans="1:5" s="13" customFormat="1" ht="15.95" customHeight="1" x14ac:dyDescent="0.2">
      <c r="A26" s="167">
        <v>3</v>
      </c>
      <c r="B26" s="525" t="str">
        <f>VLOOKUP($A26,Vorgaben!$A$19:$H$54,8,FALSE)</f>
        <v>E5</v>
      </c>
      <c r="C26" s="526" t="str">
        <f>IF(VLOOKUP($A26,Vorgaben!$A$19:$H$54,3,FALSE)="","",(VLOOKUP($A26,Vorgaben!$A$19:$H$54,3,FALSE)&amp;$B$17&amp;VLOOKUP($A26,Vorgaben!$A$19:$H$54,4,FALSE)&amp;$B$17&amp;TEXT(VLOOKUP($A26,Vorgaben!$A$19:$H$54,5,FALSE),"TT.MM.JJJJ")&amp;$B$17&amp;$B26&amp;$B$17&amp;LEFT(VLOOKUP($A26,Fremdsprache!$A$19:$Z$54,26,FALSE),1)&amp;$B$17&amp;LEFT(VLOOKUP($A26,Fremdsprache!$A$19:$Z$54,6,FALSE),1)&amp;$B$17&amp;LEFT(VLOOKUP($A26,Fremdsprache!$A$19:$Z$54,8,FALSE),1)&amp;$B$17&amp;LEFT(VLOOKUP($A26,Fremdsprache!$A$19:$Z$54,16,FALSE),1)))</f>
        <v>NN 3;VN 3;GD 3;E5;;;;</v>
      </c>
      <c r="D26" s="526"/>
      <c r="E26" s="154"/>
    </row>
    <row r="27" spans="1:5" s="13" customFormat="1" ht="15.95" customHeight="1" x14ac:dyDescent="0.2">
      <c r="A27" s="167">
        <v>3</v>
      </c>
      <c r="B27" s="525" t="s">
        <v>277</v>
      </c>
      <c r="C27" s="526" t="str">
        <f>IF(VLOOKUP($A27,Vorgaben!$A$19:$H$54,3,FALSE)="","",(VLOOKUP($A27,Vorgaben!$A$19:$H$54,3,FALSE)&amp;$B$17&amp;VLOOKUP($A27,Vorgaben!$A$19:$H$54,4,FALSE)&amp;$B$17&amp;TEXT(VLOOKUP($A27,Vorgaben!$A$19:$H$54,5,FALSE),"TT.MM.JJJJ")&amp;$B$17&amp;$B27&amp;$B$17&amp;LEFT(VLOOKUP($A27,Mathematik!$A$19:$Z$54,26,FALSE),1)&amp;$B$17&amp;LEFT(VLOOKUP($A27,Mathematik!$A$19:$Z$54,6,FALSE),1)&amp;$B$17&amp;LEFT(VLOOKUP($A27,Mathematik!$A$19:$Z$54,8,FALSE),1)&amp;$B$17&amp;LEFT(VLOOKUP($A27,Mathematik!$A$19:$Z$54,16,FALSE),1)))</f>
        <v>NN 3;VN 3;GD 3;M;;;;</v>
      </c>
      <c r="D27" s="526"/>
      <c r="E27" s="154"/>
    </row>
    <row r="28" spans="1:5" s="13" customFormat="1" ht="15.95" customHeight="1" x14ac:dyDescent="0.2">
      <c r="A28" s="167">
        <v>4</v>
      </c>
      <c r="B28" s="525" t="s">
        <v>276</v>
      </c>
      <c r="C28" s="526" t="str">
        <f>IF(VLOOKUP($A28,Vorgaben!$A$19:$H$54,3,FALSE)="","",(VLOOKUP($A28,Vorgaben!$A$19:$H$54,3,FALSE)&amp;$B$17&amp;VLOOKUP($A28,Vorgaben!$A$19:$H$54,4,FALSE)&amp;$B$17&amp;TEXT(VLOOKUP($A28,Vorgaben!$A$19:$H$54,5,FALSE),"TT.MM.JJJJ")&amp;$B$17&amp;$B28&amp;$B$17&amp;LEFT(VLOOKUP($A28,Deutsch!$A$19:$Z$54,26,FALSE),1)&amp;$B$17&amp;LEFT(VLOOKUP($A28,Deutsch!$A$19:$Z$54,6,FALSE),1)&amp;$B$17&amp;LEFT(VLOOKUP($A28,Deutsch!$A$19:$Z$54,8,FALSE),1)&amp;$B$17&amp;LEFT(VLOOKUP($A28,Deutsch!$A$19:$Z$54,16,FALSE),1)))</f>
        <v>NN 4;VN 4;GD 4;D;;;;</v>
      </c>
      <c r="D28" s="526"/>
      <c r="E28" s="154"/>
    </row>
    <row r="29" spans="1:5" s="13" customFormat="1" ht="15.95" customHeight="1" x14ac:dyDescent="0.2">
      <c r="A29" s="167">
        <v>4</v>
      </c>
      <c r="B29" s="525" t="str">
        <f>VLOOKUP($A29,Vorgaben!$A$19:$H$54,8,FALSE)</f>
        <v>E5</v>
      </c>
      <c r="C29" s="526" t="str">
        <f>IF(VLOOKUP($A29,Vorgaben!$A$19:$H$54,3,FALSE)="","",(VLOOKUP($A29,Vorgaben!$A$19:$H$54,3,FALSE)&amp;$B$17&amp;VLOOKUP($A29,Vorgaben!$A$19:$H$54,4,FALSE)&amp;$B$17&amp;TEXT(VLOOKUP($A29,Vorgaben!$A$19:$H$54,5,FALSE),"TT.MM.JJJJ")&amp;$B$17&amp;$B29&amp;$B$17&amp;LEFT(VLOOKUP($A29,Fremdsprache!$A$19:$Z$54,26,FALSE),1)&amp;$B$17&amp;LEFT(VLOOKUP($A29,Fremdsprache!$A$19:$Z$54,6,FALSE),1)&amp;$B$17&amp;LEFT(VLOOKUP($A29,Fremdsprache!$A$19:$Z$54,8,FALSE),1)&amp;$B$17&amp;LEFT(VLOOKUP($A29,Fremdsprache!$A$19:$Z$54,16,FALSE),1)))</f>
        <v>NN 4;VN 4;GD 4;E5;;;;</v>
      </c>
      <c r="D29" s="526"/>
      <c r="E29" s="154"/>
    </row>
    <row r="30" spans="1:5" s="13" customFormat="1" ht="15.95" customHeight="1" x14ac:dyDescent="0.2">
      <c r="A30" s="167">
        <v>4</v>
      </c>
      <c r="B30" s="525" t="s">
        <v>277</v>
      </c>
      <c r="C30" s="526" t="str">
        <f>IF(VLOOKUP($A30,Vorgaben!$A$19:$H$54,3,FALSE)="","",(VLOOKUP($A30,Vorgaben!$A$19:$H$54,3,FALSE)&amp;$B$17&amp;VLOOKUP($A30,Vorgaben!$A$19:$H$54,4,FALSE)&amp;$B$17&amp;TEXT(VLOOKUP($A30,Vorgaben!$A$19:$H$54,5,FALSE),"TT.MM.JJJJ")&amp;$B$17&amp;$B30&amp;$B$17&amp;LEFT(VLOOKUP($A30,Mathematik!$A$19:$Z$54,26,FALSE),1)&amp;$B$17&amp;LEFT(VLOOKUP($A30,Mathematik!$A$19:$Z$54,6,FALSE),1)&amp;$B$17&amp;LEFT(VLOOKUP($A30,Mathematik!$A$19:$Z$54,8,FALSE),1)&amp;$B$17&amp;LEFT(VLOOKUP($A30,Mathematik!$A$19:$Z$54,16,FALSE),1)))</f>
        <v>NN 4;VN 4;GD 4;M;;;;</v>
      </c>
      <c r="D30" s="526"/>
      <c r="E30" s="154"/>
    </row>
    <row r="31" spans="1:5" s="13" customFormat="1" ht="15.95" customHeight="1" x14ac:dyDescent="0.2">
      <c r="A31" s="167">
        <v>5</v>
      </c>
      <c r="B31" s="525" t="s">
        <v>276</v>
      </c>
      <c r="C31" s="526" t="str">
        <f>IF(VLOOKUP($A31,Vorgaben!$A$19:$H$54,3,FALSE)="","",(VLOOKUP($A31,Vorgaben!$A$19:$H$54,3,FALSE)&amp;$B$17&amp;VLOOKUP($A31,Vorgaben!$A$19:$H$54,4,FALSE)&amp;$B$17&amp;TEXT(VLOOKUP($A31,Vorgaben!$A$19:$H$54,5,FALSE),"TT.MM.JJJJ")&amp;$B$17&amp;$B31&amp;$B$17&amp;LEFT(VLOOKUP($A31,Deutsch!$A$19:$Z$54,26,FALSE),1)&amp;$B$17&amp;LEFT(VLOOKUP($A31,Deutsch!$A$19:$Z$54,6,FALSE),1)&amp;$B$17&amp;LEFT(VLOOKUP($A31,Deutsch!$A$19:$Z$54,8,FALSE),1)&amp;$B$17&amp;LEFT(VLOOKUP($A31,Deutsch!$A$19:$Z$54,16,FALSE),1)))</f>
        <v>NN 5;VN 5;GD 5;D;;;;</v>
      </c>
      <c r="D31" s="526"/>
      <c r="E31" s="154"/>
    </row>
    <row r="32" spans="1:5" s="13" customFormat="1" ht="15.95" customHeight="1" x14ac:dyDescent="0.2">
      <c r="A32" s="167">
        <v>5</v>
      </c>
      <c r="B32" s="525" t="str">
        <f>VLOOKUP($A32,Vorgaben!$A$19:$H$54,8,FALSE)</f>
        <v>E5</v>
      </c>
      <c r="C32" s="526" t="str">
        <f>IF(VLOOKUP($A32,Vorgaben!$A$19:$H$54,3,FALSE)="","",(VLOOKUP($A32,Vorgaben!$A$19:$H$54,3,FALSE)&amp;$B$17&amp;VLOOKUP($A32,Vorgaben!$A$19:$H$54,4,FALSE)&amp;$B$17&amp;TEXT(VLOOKUP($A32,Vorgaben!$A$19:$H$54,5,FALSE),"TT.MM.JJJJ")&amp;$B$17&amp;$B32&amp;$B$17&amp;LEFT(VLOOKUP($A32,Fremdsprache!$A$19:$Z$54,26,FALSE),1)&amp;$B$17&amp;LEFT(VLOOKUP($A32,Fremdsprache!$A$19:$Z$54,6,FALSE),1)&amp;$B$17&amp;LEFT(VLOOKUP($A32,Fremdsprache!$A$19:$Z$54,8,FALSE),1)&amp;$B$17&amp;LEFT(VLOOKUP($A32,Fremdsprache!$A$19:$Z$54,16,FALSE),1)))</f>
        <v>NN 5;VN 5;GD 5;E5;;;;</v>
      </c>
      <c r="D32" s="526"/>
      <c r="E32" s="154"/>
    </row>
    <row r="33" spans="1:5" s="13" customFormat="1" ht="15.95" customHeight="1" x14ac:dyDescent="0.2">
      <c r="A33" s="167">
        <v>5</v>
      </c>
      <c r="B33" s="525" t="s">
        <v>277</v>
      </c>
      <c r="C33" s="526" t="str">
        <f>IF(VLOOKUP($A33,Vorgaben!$A$19:$H$54,3,FALSE)="","",(VLOOKUP($A33,Vorgaben!$A$19:$H$54,3,FALSE)&amp;$B$17&amp;VLOOKUP($A33,Vorgaben!$A$19:$H$54,4,FALSE)&amp;$B$17&amp;TEXT(VLOOKUP($A33,Vorgaben!$A$19:$H$54,5,FALSE),"TT.MM.JJJJ")&amp;$B$17&amp;$B33&amp;$B$17&amp;LEFT(VLOOKUP($A33,Mathematik!$A$19:$Z$54,26,FALSE),1)&amp;$B$17&amp;LEFT(VLOOKUP($A33,Mathematik!$A$19:$Z$54,6,FALSE),1)&amp;$B$17&amp;LEFT(VLOOKUP($A33,Mathematik!$A$19:$Z$54,8,FALSE),1)&amp;$B$17&amp;LEFT(VLOOKUP($A33,Mathematik!$A$19:$Z$54,16,FALSE),1)))</f>
        <v>NN 5;VN 5;GD 5;M;;;;</v>
      </c>
      <c r="D33" s="526"/>
      <c r="E33" s="154"/>
    </row>
    <row r="34" spans="1:5" s="13" customFormat="1" ht="15.95" customHeight="1" x14ac:dyDescent="0.2">
      <c r="A34" s="167">
        <v>6</v>
      </c>
      <c r="B34" s="525" t="s">
        <v>276</v>
      </c>
      <c r="C34" s="526" t="str">
        <f>IF(VLOOKUP($A34,Vorgaben!$A$19:$H$54,3,FALSE)="","",(VLOOKUP($A34,Vorgaben!$A$19:$H$54,3,FALSE)&amp;$B$17&amp;VLOOKUP($A34,Vorgaben!$A$19:$H$54,4,FALSE)&amp;$B$17&amp;TEXT(VLOOKUP($A34,Vorgaben!$A$19:$H$54,5,FALSE),"TT.MM.JJJJ")&amp;$B$17&amp;$B34&amp;$B$17&amp;LEFT(VLOOKUP($A34,Deutsch!$A$19:$Z$54,26,FALSE),1)&amp;$B$17&amp;LEFT(VLOOKUP($A34,Deutsch!$A$19:$Z$54,6,FALSE),1)&amp;$B$17&amp;LEFT(VLOOKUP($A34,Deutsch!$A$19:$Z$54,8,FALSE),1)&amp;$B$17&amp;LEFT(VLOOKUP($A34,Deutsch!$A$19:$Z$54,16,FALSE),1)))</f>
        <v>NN 6;VN 6;GD 6;D;;;;</v>
      </c>
      <c r="D34" s="526"/>
      <c r="E34" s="154"/>
    </row>
    <row r="35" spans="1:5" s="13" customFormat="1" ht="15.95" customHeight="1" x14ac:dyDescent="0.2">
      <c r="A35" s="167">
        <v>6</v>
      </c>
      <c r="B35" s="525" t="str">
        <f>VLOOKUP($A35,Vorgaben!$A$19:$H$54,8,FALSE)</f>
        <v>E5</v>
      </c>
      <c r="C35" s="526" t="str">
        <f>IF(VLOOKUP($A35,Vorgaben!$A$19:$H$54,3,FALSE)="","",(VLOOKUP($A35,Vorgaben!$A$19:$H$54,3,FALSE)&amp;$B$17&amp;VLOOKUP($A35,Vorgaben!$A$19:$H$54,4,FALSE)&amp;$B$17&amp;TEXT(VLOOKUP($A35,Vorgaben!$A$19:$H$54,5,FALSE),"TT.MM.JJJJ")&amp;$B$17&amp;$B35&amp;$B$17&amp;LEFT(VLOOKUP($A35,Fremdsprache!$A$19:$Z$54,26,FALSE),1)&amp;$B$17&amp;LEFT(VLOOKUP($A35,Fremdsprache!$A$19:$Z$54,6,FALSE),1)&amp;$B$17&amp;LEFT(VLOOKUP($A35,Fremdsprache!$A$19:$Z$54,8,FALSE),1)&amp;$B$17&amp;LEFT(VLOOKUP($A35,Fremdsprache!$A$19:$Z$54,16,FALSE),1)))</f>
        <v>NN 6;VN 6;GD 6;E5;;;;</v>
      </c>
      <c r="D35" s="526"/>
      <c r="E35" s="154"/>
    </row>
    <row r="36" spans="1:5" s="13" customFormat="1" ht="15.95" customHeight="1" x14ac:dyDescent="0.2">
      <c r="A36" s="167">
        <v>6</v>
      </c>
      <c r="B36" s="525" t="s">
        <v>277</v>
      </c>
      <c r="C36" s="526" t="str">
        <f>IF(VLOOKUP($A36,Vorgaben!$A$19:$H$54,3,FALSE)="","",(VLOOKUP($A36,Vorgaben!$A$19:$H$54,3,FALSE)&amp;$B$17&amp;VLOOKUP($A36,Vorgaben!$A$19:$H$54,4,FALSE)&amp;$B$17&amp;TEXT(VLOOKUP($A36,Vorgaben!$A$19:$H$54,5,FALSE),"TT.MM.JJJJ")&amp;$B$17&amp;$B36&amp;$B$17&amp;LEFT(VLOOKUP($A36,Mathematik!$A$19:$Z$54,26,FALSE),1)&amp;$B$17&amp;LEFT(VLOOKUP($A36,Mathematik!$A$19:$Z$54,6,FALSE),1)&amp;$B$17&amp;LEFT(VLOOKUP($A36,Mathematik!$A$19:$Z$54,8,FALSE),1)&amp;$B$17&amp;LEFT(VLOOKUP($A36,Mathematik!$A$19:$Z$54,16,FALSE),1)))</f>
        <v>NN 6;VN 6;GD 6;M;;;;</v>
      </c>
      <c r="D36" s="526"/>
      <c r="E36" s="154"/>
    </row>
    <row r="37" spans="1:5" s="13" customFormat="1" ht="15.95" customHeight="1" x14ac:dyDescent="0.2">
      <c r="A37" s="167">
        <v>7</v>
      </c>
      <c r="B37" s="525" t="s">
        <v>276</v>
      </c>
      <c r="C37" s="526" t="str">
        <f>IF(VLOOKUP($A37,Vorgaben!$A$19:$H$54,3,FALSE)="","",(VLOOKUP($A37,Vorgaben!$A$19:$H$54,3,FALSE)&amp;$B$17&amp;VLOOKUP($A37,Vorgaben!$A$19:$H$54,4,FALSE)&amp;$B$17&amp;TEXT(VLOOKUP($A37,Vorgaben!$A$19:$H$54,5,FALSE),"TT.MM.JJJJ")&amp;$B$17&amp;$B37&amp;$B$17&amp;LEFT(VLOOKUP($A37,Deutsch!$A$19:$Z$54,26,FALSE),1)&amp;$B$17&amp;LEFT(VLOOKUP($A37,Deutsch!$A$19:$Z$54,6,FALSE),1)&amp;$B$17&amp;LEFT(VLOOKUP($A37,Deutsch!$A$19:$Z$54,8,FALSE),1)&amp;$B$17&amp;LEFT(VLOOKUP($A37,Deutsch!$A$19:$Z$54,16,FALSE),1)))</f>
        <v>NN 7;VN 7;GD 7;D;;;;</v>
      </c>
      <c r="D37" s="526"/>
      <c r="E37" s="154"/>
    </row>
    <row r="38" spans="1:5" s="13" customFormat="1" ht="15.95" customHeight="1" x14ac:dyDescent="0.2">
      <c r="A38" s="167">
        <v>7</v>
      </c>
      <c r="B38" s="525" t="str">
        <f>VLOOKUP($A38,Vorgaben!$A$19:$H$54,8,FALSE)</f>
        <v>E5</v>
      </c>
      <c r="C38" s="526" t="str">
        <f>IF(VLOOKUP($A38,Vorgaben!$A$19:$H$54,3,FALSE)="","",(VLOOKUP($A38,Vorgaben!$A$19:$H$54,3,FALSE)&amp;$B$17&amp;VLOOKUP($A38,Vorgaben!$A$19:$H$54,4,FALSE)&amp;$B$17&amp;TEXT(VLOOKUP($A38,Vorgaben!$A$19:$H$54,5,FALSE),"TT.MM.JJJJ")&amp;$B$17&amp;$B38&amp;$B$17&amp;LEFT(VLOOKUP($A38,Fremdsprache!$A$19:$Z$54,26,FALSE),1)&amp;$B$17&amp;LEFT(VLOOKUP($A38,Fremdsprache!$A$19:$Z$54,6,FALSE),1)&amp;$B$17&amp;LEFT(VLOOKUP($A38,Fremdsprache!$A$19:$Z$54,8,FALSE),1)&amp;$B$17&amp;LEFT(VLOOKUP($A38,Fremdsprache!$A$19:$Z$54,16,FALSE),1)))</f>
        <v>NN 7;VN 7;GD 7;E5;;;;</v>
      </c>
      <c r="D38" s="526"/>
      <c r="E38" s="154"/>
    </row>
    <row r="39" spans="1:5" s="13" customFormat="1" ht="15.95" customHeight="1" x14ac:dyDescent="0.2">
      <c r="A39" s="167">
        <v>7</v>
      </c>
      <c r="B39" s="525" t="s">
        <v>277</v>
      </c>
      <c r="C39" s="526" t="str">
        <f>IF(VLOOKUP($A39,Vorgaben!$A$19:$H$54,3,FALSE)="","",(VLOOKUP($A39,Vorgaben!$A$19:$H$54,3,FALSE)&amp;$B$17&amp;VLOOKUP($A39,Vorgaben!$A$19:$H$54,4,FALSE)&amp;$B$17&amp;TEXT(VLOOKUP($A39,Vorgaben!$A$19:$H$54,5,FALSE),"TT.MM.JJJJ")&amp;$B$17&amp;$B39&amp;$B$17&amp;LEFT(VLOOKUP($A39,Mathematik!$A$19:$Z$54,26,FALSE),1)&amp;$B$17&amp;LEFT(VLOOKUP($A39,Mathematik!$A$19:$Z$54,6,FALSE),1)&amp;$B$17&amp;LEFT(VLOOKUP($A39,Mathematik!$A$19:$Z$54,8,FALSE),1)&amp;$B$17&amp;LEFT(VLOOKUP($A39,Mathematik!$A$19:$Z$54,16,FALSE),1)))</f>
        <v>NN 7;VN 7;GD 7;M;;;;</v>
      </c>
      <c r="D39" s="526"/>
      <c r="E39" s="154"/>
    </row>
    <row r="40" spans="1:5" s="13" customFormat="1" ht="15.95" customHeight="1" x14ac:dyDescent="0.2">
      <c r="A40" s="167">
        <v>8</v>
      </c>
      <c r="B40" s="525" t="s">
        <v>276</v>
      </c>
      <c r="C40" s="526" t="str">
        <f>IF(VLOOKUP($A40,Vorgaben!$A$19:$H$54,3,FALSE)="","",(VLOOKUP($A40,Vorgaben!$A$19:$H$54,3,FALSE)&amp;$B$17&amp;VLOOKUP($A40,Vorgaben!$A$19:$H$54,4,FALSE)&amp;$B$17&amp;TEXT(VLOOKUP($A40,Vorgaben!$A$19:$H$54,5,FALSE),"TT.MM.JJJJ")&amp;$B$17&amp;$B40&amp;$B$17&amp;LEFT(VLOOKUP($A40,Deutsch!$A$19:$Z$54,26,FALSE),1)&amp;$B$17&amp;LEFT(VLOOKUP($A40,Deutsch!$A$19:$Z$54,6,FALSE),1)&amp;$B$17&amp;LEFT(VLOOKUP($A40,Deutsch!$A$19:$Z$54,8,FALSE),1)&amp;$B$17&amp;LEFT(VLOOKUP($A40,Deutsch!$A$19:$Z$54,16,FALSE),1)))</f>
        <v>NN 8;VN 8;GD 8;D;;;;</v>
      </c>
      <c r="D40" s="526"/>
      <c r="E40" s="154"/>
    </row>
    <row r="41" spans="1:5" s="13" customFormat="1" ht="15.95" customHeight="1" x14ac:dyDescent="0.2">
      <c r="A41" s="167">
        <v>8</v>
      </c>
      <c r="B41" s="525" t="str">
        <f>VLOOKUP($A41,Vorgaben!$A$19:$H$54,8,FALSE)</f>
        <v>E5</v>
      </c>
      <c r="C41" s="526" t="str">
        <f>IF(VLOOKUP($A41,Vorgaben!$A$19:$H$54,3,FALSE)="","",(VLOOKUP($A41,Vorgaben!$A$19:$H$54,3,FALSE)&amp;$B$17&amp;VLOOKUP($A41,Vorgaben!$A$19:$H$54,4,FALSE)&amp;$B$17&amp;TEXT(VLOOKUP($A41,Vorgaben!$A$19:$H$54,5,FALSE),"TT.MM.JJJJ")&amp;$B$17&amp;$B41&amp;$B$17&amp;LEFT(VLOOKUP($A41,Fremdsprache!$A$19:$Z$54,26,FALSE),1)&amp;$B$17&amp;LEFT(VLOOKUP($A41,Fremdsprache!$A$19:$Z$54,6,FALSE),1)&amp;$B$17&amp;LEFT(VLOOKUP($A41,Fremdsprache!$A$19:$Z$54,8,FALSE),1)&amp;$B$17&amp;LEFT(VLOOKUP($A41,Fremdsprache!$A$19:$Z$54,16,FALSE),1)))</f>
        <v>NN 8;VN 8;GD 8;E5;;;;</v>
      </c>
      <c r="D41" s="527"/>
      <c r="E41" s="154"/>
    </row>
    <row r="42" spans="1:5" s="13" customFormat="1" ht="15.95" customHeight="1" x14ac:dyDescent="0.2">
      <c r="A42" s="167">
        <v>8</v>
      </c>
      <c r="B42" s="525" t="s">
        <v>277</v>
      </c>
      <c r="C42" s="526" t="str">
        <f>IF(VLOOKUP($A42,Vorgaben!$A$19:$H$54,3,FALSE)="","",(VLOOKUP($A42,Vorgaben!$A$19:$H$54,3,FALSE)&amp;$B$17&amp;VLOOKUP($A42,Vorgaben!$A$19:$H$54,4,FALSE)&amp;$B$17&amp;TEXT(VLOOKUP($A42,Vorgaben!$A$19:$H$54,5,FALSE),"TT.MM.JJJJ")&amp;$B$17&amp;$B42&amp;$B$17&amp;LEFT(VLOOKUP($A42,Mathematik!$A$19:$Z$54,26,FALSE),1)&amp;$B$17&amp;LEFT(VLOOKUP($A42,Mathematik!$A$19:$Z$54,6,FALSE),1)&amp;$B$17&amp;LEFT(VLOOKUP($A42,Mathematik!$A$19:$Z$54,8,FALSE),1)&amp;$B$17&amp;LEFT(VLOOKUP($A42,Mathematik!$A$19:$Z$54,16,FALSE),1)))</f>
        <v>NN 8;VN 8;GD 8;M;;;;</v>
      </c>
      <c r="D42" s="527"/>
      <c r="E42" s="154"/>
    </row>
    <row r="43" spans="1:5" s="13" customFormat="1" ht="15.95" customHeight="1" x14ac:dyDescent="0.2">
      <c r="A43" s="167">
        <v>9</v>
      </c>
      <c r="B43" s="525" t="s">
        <v>276</v>
      </c>
      <c r="C43" s="526" t="str">
        <f>IF(VLOOKUP($A43,Vorgaben!$A$19:$H$54,3,FALSE)="","",(VLOOKUP($A43,Vorgaben!$A$19:$H$54,3,FALSE)&amp;$B$17&amp;VLOOKUP($A43,Vorgaben!$A$19:$H$54,4,FALSE)&amp;$B$17&amp;TEXT(VLOOKUP($A43,Vorgaben!$A$19:$H$54,5,FALSE),"TT.MM.JJJJ")&amp;$B$17&amp;$B43&amp;$B$17&amp;LEFT(VLOOKUP($A43,Deutsch!$A$19:$Z$54,26,FALSE),1)&amp;$B$17&amp;LEFT(VLOOKUP($A43,Deutsch!$A$19:$Z$54,6,FALSE),1)&amp;$B$17&amp;LEFT(VLOOKUP($A43,Deutsch!$A$19:$Z$54,8,FALSE),1)&amp;$B$17&amp;LEFT(VLOOKUP($A43,Deutsch!$A$19:$Z$54,16,FALSE),1)))</f>
        <v>NN 9;VN 9;GD 9;D;;;;</v>
      </c>
      <c r="D43" s="527"/>
      <c r="E43" s="154"/>
    </row>
    <row r="44" spans="1:5" s="13" customFormat="1" ht="15.95" customHeight="1" x14ac:dyDescent="0.2">
      <c r="A44" s="167">
        <v>9</v>
      </c>
      <c r="B44" s="525" t="str">
        <f>VLOOKUP($A44,Vorgaben!$A$19:$H$54,8,FALSE)</f>
        <v>E5</v>
      </c>
      <c r="C44" s="526" t="str">
        <f>IF(VLOOKUP($A44,Vorgaben!$A$19:$H$54,3,FALSE)="","",(VLOOKUP($A44,Vorgaben!$A$19:$H$54,3,FALSE)&amp;$B$17&amp;VLOOKUP($A44,Vorgaben!$A$19:$H$54,4,FALSE)&amp;$B$17&amp;TEXT(VLOOKUP($A44,Vorgaben!$A$19:$H$54,5,FALSE),"TT.MM.JJJJ")&amp;$B$17&amp;$B44&amp;$B$17&amp;LEFT(VLOOKUP($A44,Fremdsprache!$A$19:$Z$54,26,FALSE),1)&amp;$B$17&amp;LEFT(VLOOKUP($A44,Fremdsprache!$A$19:$Z$54,6,FALSE),1)&amp;$B$17&amp;LEFT(VLOOKUP($A44,Fremdsprache!$A$19:$Z$54,8,FALSE),1)&amp;$B$17&amp;LEFT(VLOOKUP($A44,Fremdsprache!$A$19:$Z$54,16,FALSE),1)))</f>
        <v>NN 9;VN 9;GD 9;E5;;;;</v>
      </c>
      <c r="D44" s="526"/>
      <c r="E44" s="154"/>
    </row>
    <row r="45" spans="1:5" s="13" customFormat="1" ht="15.95" customHeight="1" x14ac:dyDescent="0.2">
      <c r="A45" s="167">
        <v>9</v>
      </c>
      <c r="B45" s="525" t="s">
        <v>277</v>
      </c>
      <c r="C45" s="526" t="str">
        <f>IF(VLOOKUP($A45,Vorgaben!$A$19:$H$54,3,FALSE)="","",(VLOOKUP($A45,Vorgaben!$A$19:$H$54,3,FALSE)&amp;$B$17&amp;VLOOKUP($A45,Vorgaben!$A$19:$H$54,4,FALSE)&amp;$B$17&amp;TEXT(VLOOKUP($A45,Vorgaben!$A$19:$H$54,5,FALSE),"TT.MM.JJJJ")&amp;$B$17&amp;$B45&amp;$B$17&amp;LEFT(VLOOKUP($A45,Mathematik!$A$19:$Z$54,26,FALSE),1)&amp;$B$17&amp;LEFT(VLOOKUP($A45,Mathematik!$A$19:$Z$54,6,FALSE),1)&amp;$B$17&amp;LEFT(VLOOKUP($A45,Mathematik!$A$19:$Z$54,8,FALSE),1)&amp;$B$17&amp;LEFT(VLOOKUP($A45,Mathematik!$A$19:$Z$54,16,FALSE),1)))</f>
        <v>NN 9;VN 9;GD 9;M;;;;</v>
      </c>
      <c r="D45" s="526"/>
      <c r="E45" s="154"/>
    </row>
    <row r="46" spans="1:5" s="13" customFormat="1" ht="15.95" customHeight="1" x14ac:dyDescent="0.2">
      <c r="A46" s="167">
        <v>10</v>
      </c>
      <c r="B46" s="525" t="s">
        <v>276</v>
      </c>
      <c r="C46" s="526" t="str">
        <f>IF(VLOOKUP($A46,Vorgaben!$A$19:$H$54,3,FALSE)="","",(VLOOKUP($A46,Vorgaben!$A$19:$H$54,3,FALSE)&amp;$B$17&amp;VLOOKUP($A46,Vorgaben!$A$19:$H$54,4,FALSE)&amp;$B$17&amp;TEXT(VLOOKUP($A46,Vorgaben!$A$19:$H$54,5,FALSE),"TT.MM.JJJJ")&amp;$B$17&amp;$B46&amp;$B$17&amp;LEFT(VLOOKUP($A46,Deutsch!$A$19:$Z$54,26,FALSE),1)&amp;$B$17&amp;LEFT(VLOOKUP($A46,Deutsch!$A$19:$Z$54,6,FALSE),1)&amp;$B$17&amp;LEFT(VLOOKUP($A46,Deutsch!$A$19:$Z$54,8,FALSE),1)&amp;$B$17&amp;LEFT(VLOOKUP($A46,Deutsch!$A$19:$Z$54,16,FALSE),1)))</f>
        <v>NN 10;VN 10;GD 10;D;;;;</v>
      </c>
      <c r="D46" s="526"/>
      <c r="E46" s="154"/>
    </row>
    <row r="47" spans="1:5" s="13" customFormat="1" ht="15.95" customHeight="1" x14ac:dyDescent="0.2">
      <c r="A47" s="167">
        <v>10</v>
      </c>
      <c r="B47" s="525" t="str">
        <f>VLOOKUP($A47,Vorgaben!$A$19:$H$54,8,FALSE)</f>
        <v>E5</v>
      </c>
      <c r="C47" s="526" t="str">
        <f>IF(VLOOKUP($A47,Vorgaben!$A$19:$H$54,3,FALSE)="","",(VLOOKUP($A47,Vorgaben!$A$19:$H$54,3,FALSE)&amp;$B$17&amp;VLOOKUP($A47,Vorgaben!$A$19:$H$54,4,FALSE)&amp;$B$17&amp;TEXT(VLOOKUP($A47,Vorgaben!$A$19:$H$54,5,FALSE),"TT.MM.JJJJ")&amp;$B$17&amp;$B47&amp;$B$17&amp;LEFT(VLOOKUP($A47,Fremdsprache!$A$19:$Z$54,26,FALSE),1)&amp;$B$17&amp;LEFT(VLOOKUP($A47,Fremdsprache!$A$19:$Z$54,6,FALSE),1)&amp;$B$17&amp;LEFT(VLOOKUP($A47,Fremdsprache!$A$19:$Z$54,8,FALSE),1)&amp;$B$17&amp;LEFT(VLOOKUP($A47,Fremdsprache!$A$19:$Z$54,16,FALSE),1)))</f>
        <v>NN 10;VN 10;GD 10;E5;;;;</v>
      </c>
      <c r="D47" s="526"/>
      <c r="E47" s="154"/>
    </row>
    <row r="48" spans="1:5" s="13" customFormat="1" ht="15.95" customHeight="1" x14ac:dyDescent="0.2">
      <c r="A48" s="167">
        <v>10</v>
      </c>
      <c r="B48" s="525" t="s">
        <v>277</v>
      </c>
      <c r="C48" s="526" t="str">
        <f>IF(VLOOKUP($A48,Vorgaben!$A$19:$H$54,3,FALSE)="","",(VLOOKUP($A48,Vorgaben!$A$19:$H$54,3,FALSE)&amp;$B$17&amp;VLOOKUP($A48,Vorgaben!$A$19:$H$54,4,FALSE)&amp;$B$17&amp;TEXT(VLOOKUP($A48,Vorgaben!$A$19:$H$54,5,FALSE),"TT.MM.JJJJ")&amp;$B$17&amp;$B48&amp;$B$17&amp;LEFT(VLOOKUP($A48,Mathematik!$A$19:$Z$54,26,FALSE),1)&amp;$B$17&amp;LEFT(VLOOKUP($A48,Mathematik!$A$19:$Z$54,6,FALSE),1)&amp;$B$17&amp;LEFT(VLOOKUP($A48,Mathematik!$A$19:$Z$54,8,FALSE),1)&amp;$B$17&amp;LEFT(VLOOKUP($A48,Mathematik!$A$19:$Z$54,16,FALSE),1)))</f>
        <v>NN 10;VN 10;GD 10;M;;;;</v>
      </c>
      <c r="D48" s="526"/>
      <c r="E48" s="154"/>
    </row>
    <row r="49" spans="1:5" s="13" customFormat="1" ht="15.95" customHeight="1" x14ac:dyDescent="0.2">
      <c r="A49" s="167">
        <v>11</v>
      </c>
      <c r="B49" s="525" t="s">
        <v>276</v>
      </c>
      <c r="C49" s="526" t="str">
        <f>IF(VLOOKUP($A49,Vorgaben!$A$19:$H$54,3,FALSE)="","",(VLOOKUP($A49,Vorgaben!$A$19:$H$54,3,FALSE)&amp;$B$17&amp;VLOOKUP($A49,Vorgaben!$A$19:$H$54,4,FALSE)&amp;$B$17&amp;TEXT(VLOOKUP($A49,Vorgaben!$A$19:$H$54,5,FALSE),"TT.MM.JJJJ")&amp;$B$17&amp;$B49&amp;$B$17&amp;LEFT(VLOOKUP($A49,Deutsch!$A$19:$Z$54,26,FALSE),1)&amp;$B$17&amp;LEFT(VLOOKUP($A49,Deutsch!$A$19:$Z$54,6,FALSE),1)&amp;$B$17&amp;LEFT(VLOOKUP($A49,Deutsch!$A$19:$Z$54,8,FALSE),1)&amp;$B$17&amp;LEFT(VLOOKUP($A49,Deutsch!$A$19:$Z$54,16,FALSE),1)))</f>
        <v>NN 11;VN 11;GD 11;D;;;;</v>
      </c>
      <c r="D49" s="526"/>
      <c r="E49" s="154"/>
    </row>
    <row r="50" spans="1:5" s="13" customFormat="1" ht="15.95" customHeight="1" x14ac:dyDescent="0.2">
      <c r="A50" s="167">
        <v>11</v>
      </c>
      <c r="B50" s="525" t="str">
        <f>VLOOKUP($A50,Vorgaben!$A$19:$H$54,8,FALSE)</f>
        <v>E5</v>
      </c>
      <c r="C50" s="526" t="str">
        <f>IF(VLOOKUP($A50,Vorgaben!$A$19:$H$54,3,FALSE)="","",(VLOOKUP($A50,Vorgaben!$A$19:$H$54,3,FALSE)&amp;$B$17&amp;VLOOKUP($A50,Vorgaben!$A$19:$H$54,4,FALSE)&amp;$B$17&amp;TEXT(VLOOKUP($A50,Vorgaben!$A$19:$H$54,5,FALSE),"TT.MM.JJJJ")&amp;$B$17&amp;$B50&amp;$B$17&amp;LEFT(VLOOKUP($A50,Fremdsprache!$A$19:$Z$54,26,FALSE),1)&amp;$B$17&amp;LEFT(VLOOKUP($A50,Fremdsprache!$A$19:$Z$54,6,FALSE),1)&amp;$B$17&amp;LEFT(VLOOKUP($A50,Fremdsprache!$A$19:$Z$54,8,FALSE),1)&amp;$B$17&amp;LEFT(VLOOKUP($A50,Fremdsprache!$A$19:$Z$54,16,FALSE),1)))</f>
        <v>NN 11;VN 11;GD 11;E5;;;;</v>
      </c>
      <c r="D50" s="526"/>
      <c r="E50" s="154"/>
    </row>
    <row r="51" spans="1:5" s="13" customFormat="1" ht="15.95" customHeight="1" x14ac:dyDescent="0.2">
      <c r="A51" s="167">
        <v>11</v>
      </c>
      <c r="B51" s="525" t="s">
        <v>277</v>
      </c>
      <c r="C51" s="526" t="str">
        <f>IF(VLOOKUP($A51,Vorgaben!$A$19:$H$54,3,FALSE)="","",(VLOOKUP($A51,Vorgaben!$A$19:$H$54,3,FALSE)&amp;$B$17&amp;VLOOKUP($A51,Vorgaben!$A$19:$H$54,4,FALSE)&amp;$B$17&amp;TEXT(VLOOKUP($A51,Vorgaben!$A$19:$H$54,5,FALSE),"TT.MM.JJJJ")&amp;$B$17&amp;$B51&amp;$B$17&amp;LEFT(VLOOKUP($A51,Mathematik!$A$19:$Z$54,26,FALSE),1)&amp;$B$17&amp;LEFT(VLOOKUP($A51,Mathematik!$A$19:$Z$54,6,FALSE),1)&amp;$B$17&amp;LEFT(VLOOKUP($A51,Mathematik!$A$19:$Z$54,8,FALSE),1)&amp;$B$17&amp;LEFT(VLOOKUP($A51,Mathematik!$A$19:$Z$54,16,FALSE),1)))</f>
        <v>NN 11;VN 11;GD 11;M;;;;</v>
      </c>
      <c r="D51" s="526"/>
      <c r="E51" s="154"/>
    </row>
    <row r="52" spans="1:5" s="13" customFormat="1" ht="15.95" customHeight="1" x14ac:dyDescent="0.2">
      <c r="A52" s="167">
        <v>12</v>
      </c>
      <c r="B52" s="525" t="s">
        <v>276</v>
      </c>
      <c r="C52" s="526" t="str">
        <f>IF(VLOOKUP($A52,Vorgaben!$A$19:$H$54,3,FALSE)="","",(VLOOKUP($A52,Vorgaben!$A$19:$H$54,3,FALSE)&amp;$B$17&amp;VLOOKUP($A52,Vorgaben!$A$19:$H$54,4,FALSE)&amp;$B$17&amp;TEXT(VLOOKUP($A52,Vorgaben!$A$19:$H$54,5,FALSE),"TT.MM.JJJJ")&amp;$B$17&amp;$B52&amp;$B$17&amp;LEFT(VLOOKUP($A52,Deutsch!$A$19:$Z$54,26,FALSE),1)&amp;$B$17&amp;LEFT(VLOOKUP($A52,Deutsch!$A$19:$Z$54,6,FALSE),1)&amp;$B$17&amp;LEFT(VLOOKUP($A52,Deutsch!$A$19:$Z$54,8,FALSE),1)&amp;$B$17&amp;LEFT(VLOOKUP($A52,Deutsch!$A$19:$Z$54,16,FALSE),1)))</f>
        <v>NN 12;VN 12;GD 12;D;;;;</v>
      </c>
      <c r="D52" s="526"/>
      <c r="E52" s="154"/>
    </row>
    <row r="53" spans="1:5" s="13" customFormat="1" ht="15.95" customHeight="1" x14ac:dyDescent="0.2">
      <c r="A53" s="167">
        <v>12</v>
      </c>
      <c r="B53" s="525" t="str">
        <f>VLOOKUP($A53,Vorgaben!$A$19:$H$54,8,FALSE)</f>
        <v>E5</v>
      </c>
      <c r="C53" s="526" t="str">
        <f>IF(VLOOKUP($A53,Vorgaben!$A$19:$H$54,3,FALSE)="","",(VLOOKUP($A53,Vorgaben!$A$19:$H$54,3,FALSE)&amp;$B$17&amp;VLOOKUP($A53,Vorgaben!$A$19:$H$54,4,FALSE)&amp;$B$17&amp;TEXT(VLOOKUP($A53,Vorgaben!$A$19:$H$54,5,FALSE),"TT.MM.JJJJ")&amp;$B$17&amp;$B53&amp;$B$17&amp;LEFT(VLOOKUP($A53,Fremdsprache!$A$19:$Z$54,26,FALSE),1)&amp;$B$17&amp;LEFT(VLOOKUP($A53,Fremdsprache!$A$19:$Z$54,6,FALSE),1)&amp;$B$17&amp;LEFT(VLOOKUP($A53,Fremdsprache!$A$19:$Z$54,8,FALSE),1)&amp;$B$17&amp;LEFT(VLOOKUP($A53,Fremdsprache!$A$19:$Z$54,16,FALSE),1)))</f>
        <v>NN 12;VN 12;GD 12;E5;;;;</v>
      </c>
      <c r="D53" s="526"/>
      <c r="E53" s="154"/>
    </row>
    <row r="54" spans="1:5" s="13" customFormat="1" ht="15.95" customHeight="1" x14ac:dyDescent="0.2">
      <c r="A54" s="167">
        <v>12</v>
      </c>
      <c r="B54" s="525" t="s">
        <v>277</v>
      </c>
      <c r="C54" s="526" t="str">
        <f>IF(VLOOKUP($A54,Vorgaben!$A$19:$H$54,3,FALSE)="","",(VLOOKUP($A54,Vorgaben!$A$19:$H$54,3,FALSE)&amp;$B$17&amp;VLOOKUP($A54,Vorgaben!$A$19:$H$54,4,FALSE)&amp;$B$17&amp;TEXT(VLOOKUP($A54,Vorgaben!$A$19:$H$54,5,FALSE),"TT.MM.JJJJ")&amp;$B$17&amp;$B54&amp;$B$17&amp;LEFT(VLOOKUP($A54,Mathematik!$A$19:$Z$54,26,FALSE),1)&amp;$B$17&amp;LEFT(VLOOKUP($A54,Mathematik!$A$19:$Z$54,6,FALSE),1)&amp;$B$17&amp;LEFT(VLOOKUP($A54,Mathematik!$A$19:$Z$54,8,FALSE),1)&amp;$B$17&amp;LEFT(VLOOKUP($A54,Mathematik!$A$19:$Z$54,16,FALSE),1)))</f>
        <v>NN 12;VN 12;GD 12;M;;;;</v>
      </c>
      <c r="D54" s="526"/>
      <c r="E54" s="154"/>
    </row>
    <row r="55" spans="1:5" s="13" customFormat="1" ht="15.95" customHeight="1" x14ac:dyDescent="0.2">
      <c r="A55" s="167">
        <v>13</v>
      </c>
      <c r="B55" s="525" t="s">
        <v>276</v>
      </c>
      <c r="C55" s="526" t="str">
        <f>IF(VLOOKUP($A55,Vorgaben!$A$19:$H$54,3,FALSE)="","",(VLOOKUP($A55,Vorgaben!$A$19:$H$54,3,FALSE)&amp;$B$17&amp;VLOOKUP($A55,Vorgaben!$A$19:$H$54,4,FALSE)&amp;$B$17&amp;TEXT(VLOOKUP($A55,Vorgaben!$A$19:$H$54,5,FALSE),"TT.MM.JJJJ")&amp;$B$17&amp;$B55&amp;$B$17&amp;LEFT(VLOOKUP($A55,Deutsch!$A$19:$Z$54,26,FALSE),1)&amp;$B$17&amp;LEFT(VLOOKUP($A55,Deutsch!$A$19:$Z$54,6,FALSE),1)&amp;$B$17&amp;LEFT(VLOOKUP($A55,Deutsch!$A$19:$Z$54,8,FALSE),1)&amp;$B$17&amp;LEFT(VLOOKUP($A55,Deutsch!$A$19:$Z$54,16,FALSE),1)))</f>
        <v>NN 13;VN 13;GD 13;D;;;;</v>
      </c>
      <c r="D55" s="528"/>
      <c r="E55" s="154"/>
    </row>
    <row r="56" spans="1:5" s="13" customFormat="1" ht="15.95" customHeight="1" x14ac:dyDescent="0.2">
      <c r="A56" s="167">
        <v>13</v>
      </c>
      <c r="B56" s="525" t="str">
        <f>VLOOKUP($A56,Vorgaben!$A$19:$H$54,8,FALSE)</f>
        <v>E5</v>
      </c>
      <c r="C56" s="526" t="str">
        <f>IF(VLOOKUP($A56,Vorgaben!$A$19:$H$54,3,FALSE)="","",(VLOOKUP($A56,Vorgaben!$A$19:$H$54,3,FALSE)&amp;$B$17&amp;VLOOKUP($A56,Vorgaben!$A$19:$H$54,4,FALSE)&amp;$B$17&amp;TEXT(VLOOKUP($A56,Vorgaben!$A$19:$H$54,5,FALSE),"TT.MM.JJJJ")&amp;$B$17&amp;$B56&amp;$B$17&amp;LEFT(VLOOKUP($A56,Fremdsprache!$A$19:$Z$54,26,FALSE),1)&amp;$B$17&amp;LEFT(VLOOKUP($A56,Fremdsprache!$A$19:$Z$54,6,FALSE),1)&amp;$B$17&amp;LEFT(VLOOKUP($A56,Fremdsprache!$A$19:$Z$54,8,FALSE),1)&amp;$B$17&amp;LEFT(VLOOKUP($A56,Fremdsprache!$A$19:$Z$54,16,FALSE),1)))</f>
        <v>NN 13;VN 13;GD 13;E5;;;;</v>
      </c>
      <c r="D56" s="528"/>
      <c r="E56" s="154"/>
    </row>
    <row r="57" spans="1:5" s="13" customFormat="1" ht="15.95" customHeight="1" x14ac:dyDescent="0.2">
      <c r="A57" s="167">
        <v>13</v>
      </c>
      <c r="B57" s="525" t="s">
        <v>277</v>
      </c>
      <c r="C57" s="526" t="str">
        <f>IF(VLOOKUP($A57,Vorgaben!$A$19:$H$54,3,FALSE)="","",(VLOOKUP($A57,Vorgaben!$A$19:$H$54,3,FALSE)&amp;$B$17&amp;VLOOKUP($A57,Vorgaben!$A$19:$H$54,4,FALSE)&amp;$B$17&amp;TEXT(VLOOKUP($A57,Vorgaben!$A$19:$H$54,5,FALSE),"TT.MM.JJJJ")&amp;$B$17&amp;$B57&amp;$B$17&amp;LEFT(VLOOKUP($A57,Mathematik!$A$19:$Z$54,26,FALSE),1)&amp;$B$17&amp;LEFT(VLOOKUP($A57,Mathematik!$A$19:$Z$54,6,FALSE),1)&amp;$B$17&amp;LEFT(VLOOKUP($A57,Mathematik!$A$19:$Z$54,8,FALSE),1)&amp;$B$17&amp;LEFT(VLOOKUP($A57,Mathematik!$A$19:$Z$54,16,FALSE),1)))</f>
        <v>NN 13;VN 13;GD 13;M;;;;</v>
      </c>
      <c r="D57" s="528"/>
      <c r="E57" s="154"/>
    </row>
    <row r="58" spans="1:5" s="13" customFormat="1" ht="15.95" customHeight="1" x14ac:dyDescent="0.2">
      <c r="A58" s="167">
        <v>14</v>
      </c>
      <c r="B58" s="525" t="s">
        <v>276</v>
      </c>
      <c r="C58" s="526" t="str">
        <f>IF(VLOOKUP($A58,Vorgaben!$A$19:$H$54,3,FALSE)="","",(VLOOKUP($A58,Vorgaben!$A$19:$H$54,3,FALSE)&amp;$B$17&amp;VLOOKUP($A58,Vorgaben!$A$19:$H$54,4,FALSE)&amp;$B$17&amp;TEXT(VLOOKUP($A58,Vorgaben!$A$19:$H$54,5,FALSE),"TT.MM.JJJJ")&amp;$B$17&amp;$B58&amp;$B$17&amp;LEFT(VLOOKUP($A58,Deutsch!$A$19:$Z$54,26,FALSE),1)&amp;$B$17&amp;LEFT(VLOOKUP($A58,Deutsch!$A$19:$Z$54,6,FALSE),1)&amp;$B$17&amp;LEFT(VLOOKUP($A58,Deutsch!$A$19:$Z$54,8,FALSE),1)&amp;$B$17&amp;LEFT(VLOOKUP($A58,Deutsch!$A$19:$Z$54,16,FALSE),1)))</f>
        <v>NN 14;VN 14;GD 14;D;;;;</v>
      </c>
      <c r="D58" s="528"/>
      <c r="E58" s="154"/>
    </row>
    <row r="59" spans="1:5" s="13" customFormat="1" ht="15.95" customHeight="1" x14ac:dyDescent="0.2">
      <c r="A59" s="167">
        <v>14</v>
      </c>
      <c r="B59" s="525" t="str">
        <f>VLOOKUP($A59,Vorgaben!$A$19:$H$54,8,FALSE)</f>
        <v>E5</v>
      </c>
      <c r="C59" s="526" t="str">
        <f>IF(VLOOKUP($A59,Vorgaben!$A$19:$H$54,3,FALSE)="","",(VLOOKUP($A59,Vorgaben!$A$19:$H$54,3,FALSE)&amp;$B$17&amp;VLOOKUP($A59,Vorgaben!$A$19:$H$54,4,FALSE)&amp;$B$17&amp;TEXT(VLOOKUP($A59,Vorgaben!$A$19:$H$54,5,FALSE),"TT.MM.JJJJ")&amp;$B$17&amp;$B59&amp;$B$17&amp;LEFT(VLOOKUP($A59,Fremdsprache!$A$19:$Z$54,26,FALSE),1)&amp;$B$17&amp;LEFT(VLOOKUP($A59,Fremdsprache!$A$19:$Z$54,6,FALSE),1)&amp;$B$17&amp;LEFT(VLOOKUP($A59,Fremdsprache!$A$19:$Z$54,8,FALSE),1)&amp;$B$17&amp;LEFT(VLOOKUP($A59,Fremdsprache!$A$19:$Z$54,16,FALSE),1)))</f>
        <v>NN 14;VN 14;GD 14;E5;;;;</v>
      </c>
      <c r="D59" s="528"/>
      <c r="E59" s="154"/>
    </row>
    <row r="60" spans="1:5" s="13" customFormat="1" ht="15.95" customHeight="1" x14ac:dyDescent="0.2">
      <c r="A60" s="167">
        <v>14</v>
      </c>
      <c r="B60" s="525" t="s">
        <v>277</v>
      </c>
      <c r="C60" s="526" t="str">
        <f>IF(VLOOKUP($A60,Vorgaben!$A$19:$H$54,3,FALSE)="","",(VLOOKUP($A60,Vorgaben!$A$19:$H$54,3,FALSE)&amp;$B$17&amp;VLOOKUP($A60,Vorgaben!$A$19:$H$54,4,FALSE)&amp;$B$17&amp;TEXT(VLOOKUP($A60,Vorgaben!$A$19:$H$54,5,FALSE),"TT.MM.JJJJ")&amp;$B$17&amp;$B60&amp;$B$17&amp;LEFT(VLOOKUP($A60,Mathematik!$A$19:$Z$54,26,FALSE),1)&amp;$B$17&amp;LEFT(VLOOKUP($A60,Mathematik!$A$19:$Z$54,6,FALSE),1)&amp;$B$17&amp;LEFT(VLOOKUP($A60,Mathematik!$A$19:$Z$54,8,FALSE),1)&amp;$B$17&amp;LEFT(VLOOKUP($A60,Mathematik!$A$19:$Z$54,16,FALSE),1)))</f>
        <v>NN 14;VN 14;GD 14;M;;;;</v>
      </c>
      <c r="D60" s="528"/>
      <c r="E60" s="154"/>
    </row>
    <row r="61" spans="1:5" s="13" customFormat="1" ht="15.95" customHeight="1" x14ac:dyDescent="0.2">
      <c r="A61" s="167">
        <v>15</v>
      </c>
      <c r="B61" s="525" t="s">
        <v>276</v>
      </c>
      <c r="C61" s="526" t="str">
        <f>IF(VLOOKUP($A61,Vorgaben!$A$19:$H$54,3,FALSE)="","",(VLOOKUP($A61,Vorgaben!$A$19:$H$54,3,FALSE)&amp;$B$17&amp;VLOOKUP($A61,Vorgaben!$A$19:$H$54,4,FALSE)&amp;$B$17&amp;TEXT(VLOOKUP($A61,Vorgaben!$A$19:$H$54,5,FALSE),"TT.MM.JJJJ")&amp;$B$17&amp;$B61&amp;$B$17&amp;LEFT(VLOOKUP($A61,Deutsch!$A$19:$Z$54,26,FALSE),1)&amp;$B$17&amp;LEFT(VLOOKUP($A61,Deutsch!$A$19:$Z$54,6,FALSE),1)&amp;$B$17&amp;LEFT(VLOOKUP($A61,Deutsch!$A$19:$Z$54,8,FALSE),1)&amp;$B$17&amp;LEFT(VLOOKUP($A61,Deutsch!$A$19:$Z$54,16,FALSE),1)))</f>
        <v>NN 15;VN 15;GD 15;D;;;;</v>
      </c>
      <c r="D61" s="528"/>
      <c r="E61" s="154"/>
    </row>
    <row r="62" spans="1:5" s="13" customFormat="1" ht="15.95" customHeight="1" x14ac:dyDescent="0.2">
      <c r="A62" s="167">
        <v>15</v>
      </c>
      <c r="B62" s="525" t="str">
        <f>VLOOKUP($A62,Vorgaben!$A$19:$H$54,8,FALSE)</f>
        <v>E5</v>
      </c>
      <c r="C62" s="526" t="str">
        <f>IF(VLOOKUP($A62,Vorgaben!$A$19:$H$54,3,FALSE)="","",(VLOOKUP($A62,Vorgaben!$A$19:$H$54,3,FALSE)&amp;$B$17&amp;VLOOKUP($A62,Vorgaben!$A$19:$H$54,4,FALSE)&amp;$B$17&amp;TEXT(VLOOKUP($A62,Vorgaben!$A$19:$H$54,5,FALSE),"TT.MM.JJJJ")&amp;$B$17&amp;$B62&amp;$B$17&amp;LEFT(VLOOKUP($A62,Fremdsprache!$A$19:$Z$54,26,FALSE),1)&amp;$B$17&amp;LEFT(VLOOKUP($A62,Fremdsprache!$A$19:$Z$54,6,FALSE),1)&amp;$B$17&amp;LEFT(VLOOKUP($A62,Fremdsprache!$A$19:$Z$54,8,FALSE),1)&amp;$B$17&amp;LEFT(VLOOKUP($A62,Fremdsprache!$A$19:$Z$54,16,FALSE),1)))</f>
        <v>NN 15;VN 15;GD 15;E5;;;;</v>
      </c>
      <c r="D62" s="528"/>
      <c r="E62" s="154"/>
    </row>
    <row r="63" spans="1:5" s="13" customFormat="1" ht="15.95" customHeight="1" x14ac:dyDescent="0.2">
      <c r="A63" s="167">
        <v>15</v>
      </c>
      <c r="B63" s="525" t="s">
        <v>277</v>
      </c>
      <c r="C63" s="526" t="str">
        <f>IF(VLOOKUP($A63,Vorgaben!$A$19:$H$54,3,FALSE)="","",(VLOOKUP($A63,Vorgaben!$A$19:$H$54,3,FALSE)&amp;$B$17&amp;VLOOKUP($A63,Vorgaben!$A$19:$H$54,4,FALSE)&amp;$B$17&amp;TEXT(VLOOKUP($A63,Vorgaben!$A$19:$H$54,5,FALSE),"TT.MM.JJJJ")&amp;$B$17&amp;$B63&amp;$B$17&amp;LEFT(VLOOKUP($A63,Mathematik!$A$19:$Z$54,26,FALSE),1)&amp;$B$17&amp;LEFT(VLOOKUP($A63,Mathematik!$A$19:$Z$54,6,FALSE),1)&amp;$B$17&amp;LEFT(VLOOKUP($A63,Mathematik!$A$19:$Z$54,8,FALSE),1)&amp;$B$17&amp;LEFT(VLOOKUP($A63,Mathematik!$A$19:$Z$54,16,FALSE),1)))</f>
        <v>NN 15;VN 15;GD 15;M;;;;</v>
      </c>
      <c r="D63" s="528"/>
      <c r="E63" s="154"/>
    </row>
    <row r="64" spans="1:5" s="13" customFormat="1" ht="15.95" customHeight="1" x14ac:dyDescent="0.2">
      <c r="A64" s="167">
        <v>16</v>
      </c>
      <c r="B64" s="525" t="s">
        <v>276</v>
      </c>
      <c r="C64" s="526" t="str">
        <f>IF(VLOOKUP($A64,Vorgaben!$A$19:$H$54,3,FALSE)="","",(VLOOKUP($A64,Vorgaben!$A$19:$H$54,3,FALSE)&amp;$B$17&amp;VLOOKUP($A64,Vorgaben!$A$19:$H$54,4,FALSE)&amp;$B$17&amp;TEXT(VLOOKUP($A64,Vorgaben!$A$19:$H$54,5,FALSE),"TT.MM.JJJJ")&amp;$B$17&amp;$B64&amp;$B$17&amp;LEFT(VLOOKUP($A64,Deutsch!$A$19:$Z$54,26,FALSE),1)&amp;$B$17&amp;LEFT(VLOOKUP($A64,Deutsch!$A$19:$Z$54,6,FALSE),1)&amp;$B$17&amp;LEFT(VLOOKUP($A64,Deutsch!$A$19:$Z$54,8,FALSE),1)&amp;$B$17&amp;LEFT(VLOOKUP($A64,Deutsch!$A$19:$Z$54,16,FALSE),1)))</f>
        <v>NN 16;VN 16;GD 16;D;;;;</v>
      </c>
      <c r="D64" s="528"/>
      <c r="E64" s="154"/>
    </row>
    <row r="65" spans="1:5" s="13" customFormat="1" ht="15.95" customHeight="1" x14ac:dyDescent="0.2">
      <c r="A65" s="167">
        <v>16</v>
      </c>
      <c r="B65" s="525" t="str">
        <f>VLOOKUP($A65,Vorgaben!$A$19:$H$54,8,FALSE)</f>
        <v>E5</v>
      </c>
      <c r="C65" s="526" t="str">
        <f>IF(VLOOKUP($A65,Vorgaben!$A$19:$H$54,3,FALSE)="","",(VLOOKUP($A65,Vorgaben!$A$19:$H$54,3,FALSE)&amp;$B$17&amp;VLOOKUP($A65,Vorgaben!$A$19:$H$54,4,FALSE)&amp;$B$17&amp;TEXT(VLOOKUP($A65,Vorgaben!$A$19:$H$54,5,FALSE),"TT.MM.JJJJ")&amp;$B$17&amp;$B65&amp;$B$17&amp;LEFT(VLOOKUP($A65,Fremdsprache!$A$19:$Z$54,26,FALSE),1)&amp;$B$17&amp;LEFT(VLOOKUP($A65,Fremdsprache!$A$19:$Z$54,6,FALSE),1)&amp;$B$17&amp;LEFT(VLOOKUP($A65,Fremdsprache!$A$19:$Z$54,8,FALSE),1)&amp;$B$17&amp;LEFT(VLOOKUP($A65,Fremdsprache!$A$19:$Z$54,16,FALSE),1)))</f>
        <v>NN 16;VN 16;GD 16;E5;;;;</v>
      </c>
      <c r="D65" s="528"/>
      <c r="E65" s="154"/>
    </row>
    <row r="66" spans="1:5" s="13" customFormat="1" ht="15.95" customHeight="1" x14ac:dyDescent="0.2">
      <c r="A66" s="167">
        <v>16</v>
      </c>
      <c r="B66" s="525" t="s">
        <v>277</v>
      </c>
      <c r="C66" s="526" t="str">
        <f>IF(VLOOKUP($A66,Vorgaben!$A$19:$H$54,3,FALSE)="","",(VLOOKUP($A66,Vorgaben!$A$19:$H$54,3,FALSE)&amp;$B$17&amp;VLOOKUP($A66,Vorgaben!$A$19:$H$54,4,FALSE)&amp;$B$17&amp;TEXT(VLOOKUP($A66,Vorgaben!$A$19:$H$54,5,FALSE),"TT.MM.JJJJ")&amp;$B$17&amp;$B66&amp;$B$17&amp;LEFT(VLOOKUP($A66,Mathematik!$A$19:$Z$54,26,FALSE),1)&amp;$B$17&amp;LEFT(VLOOKUP($A66,Mathematik!$A$19:$Z$54,6,FALSE),1)&amp;$B$17&amp;LEFT(VLOOKUP($A66,Mathematik!$A$19:$Z$54,8,FALSE),1)&amp;$B$17&amp;LEFT(VLOOKUP($A66,Mathematik!$A$19:$Z$54,16,FALSE),1)))</f>
        <v>NN 16;VN 16;GD 16;M;;;;</v>
      </c>
      <c r="D66" s="528"/>
      <c r="E66" s="154"/>
    </row>
    <row r="67" spans="1:5" s="13" customFormat="1" ht="15.95" customHeight="1" x14ac:dyDescent="0.2">
      <c r="A67" s="167">
        <v>17</v>
      </c>
      <c r="B67" s="525" t="s">
        <v>276</v>
      </c>
      <c r="C67" s="526" t="str">
        <f>IF(VLOOKUP($A67,Vorgaben!$A$19:$H$54,3,FALSE)="","",(VLOOKUP($A67,Vorgaben!$A$19:$H$54,3,FALSE)&amp;$B$17&amp;VLOOKUP($A67,Vorgaben!$A$19:$H$54,4,FALSE)&amp;$B$17&amp;TEXT(VLOOKUP($A67,Vorgaben!$A$19:$H$54,5,FALSE),"TT.MM.JJJJ")&amp;$B$17&amp;$B67&amp;$B$17&amp;LEFT(VLOOKUP($A67,Deutsch!$A$19:$Z$54,26,FALSE),1)&amp;$B$17&amp;LEFT(VLOOKUP($A67,Deutsch!$A$19:$Z$54,6,FALSE),1)&amp;$B$17&amp;LEFT(VLOOKUP($A67,Deutsch!$A$19:$Z$54,8,FALSE),1)&amp;$B$17&amp;LEFT(VLOOKUP($A67,Deutsch!$A$19:$Z$54,16,FALSE),1)))</f>
        <v>NN 17;VN 17;GD 17;D;;;;</v>
      </c>
      <c r="D67" s="528"/>
      <c r="E67" s="154"/>
    </row>
    <row r="68" spans="1:5" s="13" customFormat="1" ht="15.95" customHeight="1" x14ac:dyDescent="0.2">
      <c r="A68" s="167">
        <v>17</v>
      </c>
      <c r="B68" s="525" t="str">
        <f>VLOOKUP($A68,Vorgaben!$A$19:$H$54,8,FALSE)</f>
        <v>E5</v>
      </c>
      <c r="C68" s="526" t="str">
        <f>IF(VLOOKUP($A68,Vorgaben!$A$19:$H$54,3,FALSE)="","",(VLOOKUP($A68,Vorgaben!$A$19:$H$54,3,FALSE)&amp;$B$17&amp;VLOOKUP($A68,Vorgaben!$A$19:$H$54,4,FALSE)&amp;$B$17&amp;TEXT(VLOOKUP($A68,Vorgaben!$A$19:$H$54,5,FALSE),"TT.MM.JJJJ")&amp;$B$17&amp;$B68&amp;$B$17&amp;LEFT(VLOOKUP($A68,Fremdsprache!$A$19:$Z$54,26,FALSE),1)&amp;$B$17&amp;LEFT(VLOOKUP($A68,Fremdsprache!$A$19:$Z$54,6,FALSE),1)&amp;$B$17&amp;LEFT(VLOOKUP($A68,Fremdsprache!$A$19:$Z$54,8,FALSE),1)&amp;$B$17&amp;LEFT(VLOOKUP($A68,Fremdsprache!$A$19:$Z$54,16,FALSE),1)))</f>
        <v>NN 17;VN 17;GD 17;E5;;;;</v>
      </c>
      <c r="D68" s="528"/>
      <c r="E68" s="154"/>
    </row>
    <row r="69" spans="1:5" s="13" customFormat="1" ht="15.95" customHeight="1" x14ac:dyDescent="0.2">
      <c r="A69" s="167">
        <v>17</v>
      </c>
      <c r="B69" s="525" t="s">
        <v>277</v>
      </c>
      <c r="C69" s="526" t="str">
        <f>IF(VLOOKUP($A69,Vorgaben!$A$19:$H$54,3,FALSE)="","",(VLOOKUP($A69,Vorgaben!$A$19:$H$54,3,FALSE)&amp;$B$17&amp;VLOOKUP($A69,Vorgaben!$A$19:$H$54,4,FALSE)&amp;$B$17&amp;TEXT(VLOOKUP($A69,Vorgaben!$A$19:$H$54,5,FALSE),"TT.MM.JJJJ")&amp;$B$17&amp;$B69&amp;$B$17&amp;LEFT(VLOOKUP($A69,Mathematik!$A$19:$Z$54,26,FALSE),1)&amp;$B$17&amp;LEFT(VLOOKUP($A69,Mathematik!$A$19:$Z$54,6,FALSE),1)&amp;$B$17&amp;LEFT(VLOOKUP($A69,Mathematik!$A$19:$Z$54,8,FALSE),1)&amp;$B$17&amp;LEFT(VLOOKUP($A69,Mathematik!$A$19:$Z$54,16,FALSE),1)))</f>
        <v>NN 17;VN 17;GD 17;M;;;;</v>
      </c>
      <c r="D69" s="528"/>
      <c r="E69" s="154"/>
    </row>
    <row r="70" spans="1:5" s="13" customFormat="1" ht="15.95" customHeight="1" x14ac:dyDescent="0.2">
      <c r="A70" s="167">
        <v>18</v>
      </c>
      <c r="B70" s="525" t="s">
        <v>276</v>
      </c>
      <c r="C70" s="526" t="str">
        <f>IF(VLOOKUP($A70,Vorgaben!$A$19:$H$54,3,FALSE)="","",(VLOOKUP($A70,Vorgaben!$A$19:$H$54,3,FALSE)&amp;$B$17&amp;VLOOKUP($A70,Vorgaben!$A$19:$H$54,4,FALSE)&amp;$B$17&amp;TEXT(VLOOKUP($A70,Vorgaben!$A$19:$H$54,5,FALSE),"TT.MM.JJJJ")&amp;$B$17&amp;$B70&amp;$B$17&amp;LEFT(VLOOKUP($A70,Deutsch!$A$19:$Z$54,26,FALSE),1)&amp;$B$17&amp;LEFT(VLOOKUP($A70,Deutsch!$A$19:$Z$54,6,FALSE),1)&amp;$B$17&amp;LEFT(VLOOKUP($A70,Deutsch!$A$19:$Z$54,8,FALSE),1)&amp;$B$17&amp;LEFT(VLOOKUP($A70,Deutsch!$A$19:$Z$54,16,FALSE),1)))</f>
        <v>NN 18;VN 18;GD 18;D;;;;</v>
      </c>
      <c r="D70" s="528"/>
      <c r="E70" s="154"/>
    </row>
    <row r="71" spans="1:5" s="13" customFormat="1" ht="15.95" customHeight="1" x14ac:dyDescent="0.2">
      <c r="A71" s="167">
        <v>18</v>
      </c>
      <c r="B71" s="525" t="str">
        <f>VLOOKUP($A71,Vorgaben!$A$19:$H$54,8,FALSE)</f>
        <v>E5</v>
      </c>
      <c r="C71" s="526" t="str">
        <f>IF(VLOOKUP($A71,Vorgaben!$A$19:$H$54,3,FALSE)="","",(VLOOKUP($A71,Vorgaben!$A$19:$H$54,3,FALSE)&amp;$B$17&amp;VLOOKUP($A71,Vorgaben!$A$19:$H$54,4,FALSE)&amp;$B$17&amp;TEXT(VLOOKUP($A71,Vorgaben!$A$19:$H$54,5,FALSE),"TT.MM.JJJJ")&amp;$B$17&amp;$B71&amp;$B$17&amp;LEFT(VLOOKUP($A71,Fremdsprache!$A$19:$Z$54,26,FALSE),1)&amp;$B$17&amp;LEFT(VLOOKUP($A71,Fremdsprache!$A$19:$Z$54,6,FALSE),1)&amp;$B$17&amp;LEFT(VLOOKUP($A71,Fremdsprache!$A$19:$Z$54,8,FALSE),1)&amp;$B$17&amp;LEFT(VLOOKUP($A71,Fremdsprache!$A$19:$Z$54,16,FALSE),1)))</f>
        <v>NN 18;VN 18;GD 18;E5;;;;</v>
      </c>
      <c r="D71" s="528"/>
      <c r="E71" s="154"/>
    </row>
    <row r="72" spans="1:5" s="13" customFormat="1" ht="15.95" customHeight="1" x14ac:dyDescent="0.2">
      <c r="A72" s="167">
        <v>18</v>
      </c>
      <c r="B72" s="525" t="s">
        <v>277</v>
      </c>
      <c r="C72" s="526" t="str">
        <f>IF(VLOOKUP($A72,Vorgaben!$A$19:$H$54,3,FALSE)="","",(VLOOKUP($A72,Vorgaben!$A$19:$H$54,3,FALSE)&amp;$B$17&amp;VLOOKUP($A72,Vorgaben!$A$19:$H$54,4,FALSE)&amp;$B$17&amp;TEXT(VLOOKUP($A72,Vorgaben!$A$19:$H$54,5,FALSE),"TT.MM.JJJJ")&amp;$B$17&amp;$B72&amp;$B$17&amp;LEFT(VLOOKUP($A72,Mathematik!$A$19:$Z$54,26,FALSE),1)&amp;$B$17&amp;LEFT(VLOOKUP($A72,Mathematik!$A$19:$Z$54,6,FALSE),1)&amp;$B$17&amp;LEFT(VLOOKUP($A72,Mathematik!$A$19:$Z$54,8,FALSE),1)&amp;$B$17&amp;LEFT(VLOOKUP($A72,Mathematik!$A$19:$Z$54,16,FALSE),1)))</f>
        <v>NN 18;VN 18;GD 18;M;;;;</v>
      </c>
      <c r="D72" s="528"/>
      <c r="E72" s="154"/>
    </row>
    <row r="73" spans="1:5" s="13" customFormat="1" ht="15.95" customHeight="1" x14ac:dyDescent="0.2">
      <c r="A73" s="167">
        <v>19</v>
      </c>
      <c r="B73" s="525" t="s">
        <v>276</v>
      </c>
      <c r="C73" s="526" t="str">
        <f>IF(VLOOKUP($A73,Vorgaben!$A$19:$H$54,3,FALSE)="","",(VLOOKUP($A73,Vorgaben!$A$19:$H$54,3,FALSE)&amp;$B$17&amp;VLOOKUP($A73,Vorgaben!$A$19:$H$54,4,FALSE)&amp;$B$17&amp;TEXT(VLOOKUP($A73,Vorgaben!$A$19:$H$54,5,FALSE),"TT.MM.JJJJ")&amp;$B$17&amp;$B73&amp;$B$17&amp;LEFT(VLOOKUP($A73,Deutsch!$A$19:$Z$54,26,FALSE),1)&amp;$B$17&amp;LEFT(VLOOKUP($A73,Deutsch!$A$19:$Z$54,6,FALSE),1)&amp;$B$17&amp;LEFT(VLOOKUP($A73,Deutsch!$A$19:$Z$54,8,FALSE),1)&amp;$B$17&amp;LEFT(VLOOKUP($A73,Deutsch!$A$19:$Z$54,16,FALSE),1)))</f>
        <v>NN 19;VN 19;GD 19;D;;;;</v>
      </c>
      <c r="D73" s="528"/>
      <c r="E73" s="154"/>
    </row>
    <row r="74" spans="1:5" s="13" customFormat="1" ht="15.95" customHeight="1" x14ac:dyDescent="0.2">
      <c r="A74" s="167">
        <v>19</v>
      </c>
      <c r="B74" s="525" t="str">
        <f>VLOOKUP($A74,Vorgaben!$A$19:$H$54,8,FALSE)</f>
        <v>E5</v>
      </c>
      <c r="C74" s="526" t="str">
        <f>IF(VLOOKUP($A74,Vorgaben!$A$19:$H$54,3,FALSE)="","",(VLOOKUP($A74,Vorgaben!$A$19:$H$54,3,FALSE)&amp;$B$17&amp;VLOOKUP($A74,Vorgaben!$A$19:$H$54,4,FALSE)&amp;$B$17&amp;TEXT(VLOOKUP($A74,Vorgaben!$A$19:$H$54,5,FALSE),"TT.MM.JJJJ")&amp;$B$17&amp;$B74&amp;$B$17&amp;LEFT(VLOOKUP($A74,Fremdsprache!$A$19:$Z$54,26,FALSE),1)&amp;$B$17&amp;LEFT(VLOOKUP($A74,Fremdsprache!$A$19:$Z$54,6,FALSE),1)&amp;$B$17&amp;LEFT(VLOOKUP($A74,Fremdsprache!$A$19:$Z$54,8,FALSE),1)&amp;$B$17&amp;LEFT(VLOOKUP($A74,Fremdsprache!$A$19:$Z$54,16,FALSE),1)))</f>
        <v>NN 19;VN 19;GD 19;E5;;;;</v>
      </c>
      <c r="D74" s="528"/>
      <c r="E74" s="154"/>
    </row>
    <row r="75" spans="1:5" s="13" customFormat="1" ht="15.95" customHeight="1" x14ac:dyDescent="0.2">
      <c r="A75" s="167">
        <v>19</v>
      </c>
      <c r="B75" s="525" t="s">
        <v>277</v>
      </c>
      <c r="C75" s="526" t="str">
        <f>IF(VLOOKUP($A75,Vorgaben!$A$19:$H$54,3,FALSE)="","",(VLOOKUP($A75,Vorgaben!$A$19:$H$54,3,FALSE)&amp;$B$17&amp;VLOOKUP($A75,Vorgaben!$A$19:$H$54,4,FALSE)&amp;$B$17&amp;TEXT(VLOOKUP($A75,Vorgaben!$A$19:$H$54,5,FALSE),"TT.MM.JJJJ")&amp;$B$17&amp;$B75&amp;$B$17&amp;LEFT(VLOOKUP($A75,Mathematik!$A$19:$Z$54,26,FALSE),1)&amp;$B$17&amp;LEFT(VLOOKUP($A75,Mathematik!$A$19:$Z$54,6,FALSE),1)&amp;$B$17&amp;LEFT(VLOOKUP($A75,Mathematik!$A$19:$Z$54,8,FALSE),1)&amp;$B$17&amp;LEFT(VLOOKUP($A75,Mathematik!$A$19:$Z$54,16,FALSE),1)))</f>
        <v>NN 19;VN 19;GD 19;M;;;;</v>
      </c>
      <c r="D75" s="528"/>
      <c r="E75" s="154"/>
    </row>
    <row r="76" spans="1:5" s="13" customFormat="1" ht="15.95" customHeight="1" x14ac:dyDescent="0.2">
      <c r="A76" s="167">
        <v>20</v>
      </c>
      <c r="B76" s="525" t="s">
        <v>276</v>
      </c>
      <c r="C76" s="526" t="str">
        <f>IF(VLOOKUP($A76,Vorgaben!$A$19:$H$54,3,FALSE)="","",(VLOOKUP($A76,Vorgaben!$A$19:$H$54,3,FALSE)&amp;$B$17&amp;VLOOKUP($A76,Vorgaben!$A$19:$H$54,4,FALSE)&amp;$B$17&amp;TEXT(VLOOKUP($A76,Vorgaben!$A$19:$H$54,5,FALSE),"TT.MM.JJJJ")&amp;$B$17&amp;$B76&amp;$B$17&amp;LEFT(VLOOKUP($A76,Deutsch!$A$19:$Z$54,26,FALSE),1)&amp;$B$17&amp;LEFT(VLOOKUP($A76,Deutsch!$A$19:$Z$54,6,FALSE),1)&amp;$B$17&amp;LEFT(VLOOKUP($A76,Deutsch!$A$19:$Z$54,8,FALSE),1)&amp;$B$17&amp;LEFT(VLOOKUP($A76,Deutsch!$A$19:$Z$54,16,FALSE),1)))</f>
        <v>NN 20;VN 20;GD 20;D;;;;</v>
      </c>
      <c r="D76" s="528"/>
      <c r="E76" s="154"/>
    </row>
    <row r="77" spans="1:5" s="13" customFormat="1" ht="15.95" customHeight="1" x14ac:dyDescent="0.2">
      <c r="A77" s="167">
        <v>20</v>
      </c>
      <c r="B77" s="525" t="str">
        <f>VLOOKUP($A77,Vorgaben!$A$19:$H$54,8,FALSE)</f>
        <v>E5</v>
      </c>
      <c r="C77" s="526" t="str">
        <f>IF(VLOOKUP($A77,Vorgaben!$A$19:$H$54,3,FALSE)="","",(VLOOKUP($A77,Vorgaben!$A$19:$H$54,3,FALSE)&amp;$B$17&amp;VLOOKUP($A77,Vorgaben!$A$19:$H$54,4,FALSE)&amp;$B$17&amp;TEXT(VLOOKUP($A77,Vorgaben!$A$19:$H$54,5,FALSE),"TT.MM.JJJJ")&amp;$B$17&amp;$B77&amp;$B$17&amp;LEFT(VLOOKUP($A77,Fremdsprache!$A$19:$Z$54,26,FALSE),1)&amp;$B$17&amp;LEFT(VLOOKUP($A77,Fremdsprache!$A$19:$Z$54,6,FALSE),1)&amp;$B$17&amp;LEFT(VLOOKUP($A77,Fremdsprache!$A$19:$Z$54,8,FALSE),1)&amp;$B$17&amp;LEFT(VLOOKUP($A77,Fremdsprache!$A$19:$Z$54,16,FALSE),1)))</f>
        <v>NN 20;VN 20;GD 20;E5;;;;</v>
      </c>
      <c r="D77" s="528"/>
      <c r="E77" s="154"/>
    </row>
    <row r="78" spans="1:5" s="13" customFormat="1" ht="15.95" customHeight="1" x14ac:dyDescent="0.2">
      <c r="A78" s="167">
        <v>20</v>
      </c>
      <c r="B78" s="525" t="s">
        <v>277</v>
      </c>
      <c r="C78" s="526" t="str">
        <f>IF(VLOOKUP($A78,Vorgaben!$A$19:$H$54,3,FALSE)="","",(VLOOKUP($A78,Vorgaben!$A$19:$H$54,3,FALSE)&amp;$B$17&amp;VLOOKUP($A78,Vorgaben!$A$19:$H$54,4,FALSE)&amp;$B$17&amp;TEXT(VLOOKUP($A78,Vorgaben!$A$19:$H$54,5,FALSE),"TT.MM.JJJJ")&amp;$B$17&amp;$B78&amp;$B$17&amp;LEFT(VLOOKUP($A78,Mathematik!$A$19:$Z$54,26,FALSE),1)&amp;$B$17&amp;LEFT(VLOOKUP($A78,Mathematik!$A$19:$Z$54,6,FALSE),1)&amp;$B$17&amp;LEFT(VLOOKUP($A78,Mathematik!$A$19:$Z$54,8,FALSE),1)&amp;$B$17&amp;LEFT(VLOOKUP($A78,Mathematik!$A$19:$Z$54,16,FALSE),1)))</f>
        <v>NN 20;VN 20;GD 20;M;;;;</v>
      </c>
      <c r="D78" s="528"/>
      <c r="E78" s="154"/>
    </row>
    <row r="79" spans="1:5" s="13" customFormat="1" ht="15.95" customHeight="1" x14ac:dyDescent="0.2">
      <c r="A79" s="167">
        <v>21</v>
      </c>
      <c r="B79" s="525" t="s">
        <v>276</v>
      </c>
      <c r="C79" s="526" t="str">
        <f>IF(VLOOKUP($A79,Vorgaben!$A$19:$H$54,3,FALSE)="","",(VLOOKUP($A79,Vorgaben!$A$19:$H$54,3,FALSE)&amp;$B$17&amp;VLOOKUP($A79,Vorgaben!$A$19:$H$54,4,FALSE)&amp;$B$17&amp;TEXT(VLOOKUP($A79,Vorgaben!$A$19:$H$54,5,FALSE),"TT.MM.JJJJ")&amp;$B$17&amp;$B79&amp;$B$17&amp;LEFT(VLOOKUP($A79,Deutsch!$A$19:$Z$54,26,FALSE),1)&amp;$B$17&amp;LEFT(VLOOKUP($A79,Deutsch!$A$19:$Z$54,6,FALSE),1)&amp;$B$17&amp;LEFT(VLOOKUP($A79,Deutsch!$A$19:$Z$54,8,FALSE),1)&amp;$B$17&amp;LEFT(VLOOKUP($A79,Deutsch!$A$19:$Z$54,16,FALSE),1)))</f>
        <v>NN 21;VN 21;GD 21;D;;;;</v>
      </c>
      <c r="D79" s="528"/>
      <c r="E79" s="154"/>
    </row>
    <row r="80" spans="1:5" s="13" customFormat="1" ht="15.95" customHeight="1" x14ac:dyDescent="0.2">
      <c r="A80" s="167">
        <v>21</v>
      </c>
      <c r="B80" s="525" t="str">
        <f>VLOOKUP($A80,Vorgaben!$A$19:$H$54,8,FALSE)</f>
        <v>E5</v>
      </c>
      <c r="C80" s="526" t="str">
        <f>IF(VLOOKUP($A80,Vorgaben!$A$19:$H$54,3,FALSE)="","",(VLOOKUP($A80,Vorgaben!$A$19:$H$54,3,FALSE)&amp;$B$17&amp;VLOOKUP($A80,Vorgaben!$A$19:$H$54,4,FALSE)&amp;$B$17&amp;TEXT(VLOOKUP($A80,Vorgaben!$A$19:$H$54,5,FALSE),"TT.MM.JJJJ")&amp;$B$17&amp;$B80&amp;$B$17&amp;LEFT(VLOOKUP($A80,Fremdsprache!$A$19:$Z$54,26,FALSE),1)&amp;$B$17&amp;LEFT(VLOOKUP($A80,Fremdsprache!$A$19:$Z$54,6,FALSE),1)&amp;$B$17&amp;LEFT(VLOOKUP($A80,Fremdsprache!$A$19:$Z$54,8,FALSE),1)&amp;$B$17&amp;LEFT(VLOOKUP($A80,Fremdsprache!$A$19:$Z$54,16,FALSE),1)))</f>
        <v>NN 21;VN 21;GD 21;E5;;;;</v>
      </c>
      <c r="D80" s="528"/>
      <c r="E80" s="154"/>
    </row>
    <row r="81" spans="1:5" s="13" customFormat="1" ht="15.95" customHeight="1" x14ac:dyDescent="0.2">
      <c r="A81" s="167">
        <v>21</v>
      </c>
      <c r="B81" s="525" t="s">
        <v>277</v>
      </c>
      <c r="C81" s="526" t="str">
        <f>IF(VLOOKUP($A81,Vorgaben!$A$19:$H$54,3,FALSE)="","",(VLOOKUP($A81,Vorgaben!$A$19:$H$54,3,FALSE)&amp;$B$17&amp;VLOOKUP($A81,Vorgaben!$A$19:$H$54,4,FALSE)&amp;$B$17&amp;TEXT(VLOOKUP($A81,Vorgaben!$A$19:$H$54,5,FALSE),"TT.MM.JJJJ")&amp;$B$17&amp;$B81&amp;$B$17&amp;LEFT(VLOOKUP($A81,Mathematik!$A$19:$Z$54,26,FALSE),1)&amp;$B$17&amp;LEFT(VLOOKUP($A81,Mathematik!$A$19:$Z$54,6,FALSE),1)&amp;$B$17&amp;LEFT(VLOOKUP($A81,Mathematik!$A$19:$Z$54,8,FALSE),1)&amp;$B$17&amp;LEFT(VLOOKUP($A81,Mathematik!$A$19:$Z$54,16,FALSE),1)))</f>
        <v>NN 21;VN 21;GD 21;M;;;;</v>
      </c>
      <c r="D81" s="528"/>
      <c r="E81" s="154"/>
    </row>
    <row r="82" spans="1:5" s="13" customFormat="1" ht="15.95" customHeight="1" x14ac:dyDescent="0.2">
      <c r="A82" s="167">
        <v>22</v>
      </c>
      <c r="B82" s="525" t="s">
        <v>276</v>
      </c>
      <c r="C82" s="526" t="str">
        <f>IF(VLOOKUP($A82,Vorgaben!$A$19:$H$54,3,FALSE)="","",(VLOOKUP($A82,Vorgaben!$A$19:$H$54,3,FALSE)&amp;$B$17&amp;VLOOKUP($A82,Vorgaben!$A$19:$H$54,4,FALSE)&amp;$B$17&amp;TEXT(VLOOKUP($A82,Vorgaben!$A$19:$H$54,5,FALSE),"TT.MM.JJJJ")&amp;$B$17&amp;$B82&amp;$B$17&amp;LEFT(VLOOKUP($A82,Deutsch!$A$19:$Z$54,26,FALSE),1)&amp;$B$17&amp;LEFT(VLOOKUP($A82,Deutsch!$A$19:$Z$54,6,FALSE),1)&amp;$B$17&amp;LEFT(VLOOKUP($A82,Deutsch!$A$19:$Z$54,8,FALSE),1)&amp;$B$17&amp;LEFT(VLOOKUP($A82,Deutsch!$A$19:$Z$54,16,FALSE),1)))</f>
        <v>NN 22;VN 22;GD 22;D;;;;</v>
      </c>
      <c r="D82" s="528"/>
      <c r="E82" s="154"/>
    </row>
    <row r="83" spans="1:5" s="13" customFormat="1" ht="15.95" customHeight="1" x14ac:dyDescent="0.2">
      <c r="A83" s="167">
        <v>22</v>
      </c>
      <c r="B83" s="525" t="str">
        <f>VLOOKUP($A83,Vorgaben!$A$19:$H$54,8,FALSE)</f>
        <v>E5</v>
      </c>
      <c r="C83" s="526" t="str">
        <f>IF(VLOOKUP($A83,Vorgaben!$A$19:$H$54,3,FALSE)="","",(VLOOKUP($A83,Vorgaben!$A$19:$H$54,3,FALSE)&amp;$B$17&amp;VLOOKUP($A83,Vorgaben!$A$19:$H$54,4,FALSE)&amp;$B$17&amp;TEXT(VLOOKUP($A83,Vorgaben!$A$19:$H$54,5,FALSE),"TT.MM.JJJJ")&amp;$B$17&amp;$B83&amp;$B$17&amp;LEFT(VLOOKUP($A83,Fremdsprache!$A$19:$Z$54,26,FALSE),1)&amp;$B$17&amp;LEFT(VLOOKUP($A83,Fremdsprache!$A$19:$Z$54,6,FALSE),1)&amp;$B$17&amp;LEFT(VLOOKUP($A83,Fremdsprache!$A$19:$Z$54,8,FALSE),1)&amp;$B$17&amp;LEFT(VLOOKUP($A83,Fremdsprache!$A$19:$Z$54,16,FALSE),1)))</f>
        <v>NN 22;VN 22;GD 22;E5;;;;</v>
      </c>
      <c r="D83" s="528"/>
      <c r="E83" s="154"/>
    </row>
    <row r="84" spans="1:5" s="13" customFormat="1" ht="15.95" customHeight="1" x14ac:dyDescent="0.2">
      <c r="A84" s="167">
        <v>22</v>
      </c>
      <c r="B84" s="525" t="s">
        <v>277</v>
      </c>
      <c r="C84" s="526" t="str">
        <f>IF(VLOOKUP($A84,Vorgaben!$A$19:$H$54,3,FALSE)="","",(VLOOKUP($A84,Vorgaben!$A$19:$H$54,3,FALSE)&amp;$B$17&amp;VLOOKUP($A84,Vorgaben!$A$19:$H$54,4,FALSE)&amp;$B$17&amp;TEXT(VLOOKUP($A84,Vorgaben!$A$19:$H$54,5,FALSE),"TT.MM.JJJJ")&amp;$B$17&amp;$B84&amp;$B$17&amp;LEFT(VLOOKUP($A84,Mathematik!$A$19:$Z$54,26,FALSE),1)&amp;$B$17&amp;LEFT(VLOOKUP($A84,Mathematik!$A$19:$Z$54,6,FALSE),1)&amp;$B$17&amp;LEFT(VLOOKUP($A84,Mathematik!$A$19:$Z$54,8,FALSE),1)&amp;$B$17&amp;LEFT(VLOOKUP($A84,Mathematik!$A$19:$Z$54,16,FALSE),1)))</f>
        <v>NN 22;VN 22;GD 22;M;;;;</v>
      </c>
      <c r="D84" s="528"/>
      <c r="E84" s="154"/>
    </row>
    <row r="85" spans="1:5" s="13" customFormat="1" ht="15.95" customHeight="1" x14ac:dyDescent="0.2">
      <c r="A85" s="167">
        <v>23</v>
      </c>
      <c r="B85" s="525" t="s">
        <v>276</v>
      </c>
      <c r="C85" s="526" t="str">
        <f>IF(VLOOKUP($A85,Vorgaben!$A$19:$H$54,3,FALSE)="","",(VLOOKUP($A85,Vorgaben!$A$19:$H$54,3,FALSE)&amp;$B$17&amp;VLOOKUP($A85,Vorgaben!$A$19:$H$54,4,FALSE)&amp;$B$17&amp;TEXT(VLOOKUP($A85,Vorgaben!$A$19:$H$54,5,FALSE),"TT.MM.JJJJ")&amp;$B$17&amp;$B85&amp;$B$17&amp;LEFT(VLOOKUP($A85,Deutsch!$A$19:$Z$54,26,FALSE),1)&amp;$B$17&amp;LEFT(VLOOKUP($A85,Deutsch!$A$19:$Z$54,6,FALSE),1)&amp;$B$17&amp;LEFT(VLOOKUP($A85,Deutsch!$A$19:$Z$54,8,FALSE),1)&amp;$B$17&amp;LEFT(VLOOKUP($A85,Deutsch!$A$19:$Z$54,16,FALSE),1)))</f>
        <v>NN 23;VN 23;GD 23;D;;;;</v>
      </c>
      <c r="D85" s="528"/>
      <c r="E85" s="154"/>
    </row>
    <row r="86" spans="1:5" s="13" customFormat="1" ht="15.95" customHeight="1" x14ac:dyDescent="0.2">
      <c r="A86" s="167">
        <v>23</v>
      </c>
      <c r="B86" s="525" t="str">
        <f>VLOOKUP($A86,Vorgaben!$A$19:$H$54,8,FALSE)</f>
        <v>E5</v>
      </c>
      <c r="C86" s="526" t="str">
        <f>IF(VLOOKUP($A86,Vorgaben!$A$19:$H$54,3,FALSE)="","",(VLOOKUP($A86,Vorgaben!$A$19:$H$54,3,FALSE)&amp;$B$17&amp;VLOOKUP($A86,Vorgaben!$A$19:$H$54,4,FALSE)&amp;$B$17&amp;TEXT(VLOOKUP($A86,Vorgaben!$A$19:$H$54,5,FALSE),"TT.MM.JJJJ")&amp;$B$17&amp;$B86&amp;$B$17&amp;LEFT(VLOOKUP($A86,Fremdsprache!$A$19:$Z$54,26,FALSE),1)&amp;$B$17&amp;LEFT(VLOOKUP($A86,Fremdsprache!$A$19:$Z$54,6,FALSE),1)&amp;$B$17&amp;LEFT(VLOOKUP($A86,Fremdsprache!$A$19:$Z$54,8,FALSE),1)&amp;$B$17&amp;LEFT(VLOOKUP($A86,Fremdsprache!$A$19:$Z$54,16,FALSE),1)))</f>
        <v>NN 23;VN 23;GD 23;E5;;;;</v>
      </c>
      <c r="D86" s="528"/>
      <c r="E86" s="154"/>
    </row>
    <row r="87" spans="1:5" s="13" customFormat="1" ht="15.95" customHeight="1" x14ac:dyDescent="0.2">
      <c r="A87" s="167">
        <v>23</v>
      </c>
      <c r="B87" s="525" t="s">
        <v>277</v>
      </c>
      <c r="C87" s="526" t="str">
        <f>IF(VLOOKUP($A87,Vorgaben!$A$19:$H$54,3,FALSE)="","",(VLOOKUP($A87,Vorgaben!$A$19:$H$54,3,FALSE)&amp;$B$17&amp;VLOOKUP($A87,Vorgaben!$A$19:$H$54,4,FALSE)&amp;$B$17&amp;TEXT(VLOOKUP($A87,Vorgaben!$A$19:$H$54,5,FALSE),"TT.MM.JJJJ")&amp;$B$17&amp;$B87&amp;$B$17&amp;LEFT(VLOOKUP($A87,Mathematik!$A$19:$Z$54,26,FALSE),1)&amp;$B$17&amp;LEFT(VLOOKUP($A87,Mathematik!$A$19:$Z$54,6,FALSE),1)&amp;$B$17&amp;LEFT(VLOOKUP($A87,Mathematik!$A$19:$Z$54,8,FALSE),1)&amp;$B$17&amp;LEFT(VLOOKUP($A87,Mathematik!$A$19:$Z$54,16,FALSE),1)))</f>
        <v>NN 23;VN 23;GD 23;M;;;;</v>
      </c>
      <c r="D87" s="528"/>
      <c r="E87" s="154"/>
    </row>
    <row r="88" spans="1:5" s="13" customFormat="1" ht="15.95" customHeight="1" x14ac:dyDescent="0.2">
      <c r="A88" s="167">
        <v>24</v>
      </c>
      <c r="B88" s="525" t="s">
        <v>276</v>
      </c>
      <c r="C88" s="526" t="str">
        <f>IF(VLOOKUP($A88,Vorgaben!$A$19:$H$54,3,FALSE)="","",(VLOOKUP($A88,Vorgaben!$A$19:$H$54,3,FALSE)&amp;$B$17&amp;VLOOKUP($A88,Vorgaben!$A$19:$H$54,4,FALSE)&amp;$B$17&amp;TEXT(VLOOKUP($A88,Vorgaben!$A$19:$H$54,5,FALSE),"TT.MM.JJJJ")&amp;$B$17&amp;$B88&amp;$B$17&amp;LEFT(VLOOKUP($A88,Deutsch!$A$19:$Z$54,26,FALSE),1)&amp;$B$17&amp;LEFT(VLOOKUP($A88,Deutsch!$A$19:$Z$54,6,FALSE),1)&amp;$B$17&amp;LEFT(VLOOKUP($A88,Deutsch!$A$19:$Z$54,8,FALSE),1)&amp;$B$17&amp;LEFT(VLOOKUP($A88,Deutsch!$A$19:$Z$54,16,FALSE),1)))</f>
        <v>NN 24;VN 24;GD 24;D;;;;</v>
      </c>
      <c r="D88" s="528"/>
      <c r="E88" s="154"/>
    </row>
    <row r="89" spans="1:5" s="13" customFormat="1" ht="15.95" customHeight="1" x14ac:dyDescent="0.2">
      <c r="A89" s="167">
        <v>24</v>
      </c>
      <c r="B89" s="525" t="str">
        <f>VLOOKUP($A89,Vorgaben!$A$19:$H$54,8,FALSE)</f>
        <v>E5</v>
      </c>
      <c r="C89" s="526" t="str">
        <f>IF(VLOOKUP($A89,Vorgaben!$A$19:$H$54,3,FALSE)="","",(VLOOKUP($A89,Vorgaben!$A$19:$H$54,3,FALSE)&amp;$B$17&amp;VLOOKUP($A89,Vorgaben!$A$19:$H$54,4,FALSE)&amp;$B$17&amp;TEXT(VLOOKUP($A89,Vorgaben!$A$19:$H$54,5,FALSE),"TT.MM.JJJJ")&amp;$B$17&amp;$B89&amp;$B$17&amp;LEFT(VLOOKUP($A89,Fremdsprache!$A$19:$Z$54,26,FALSE),1)&amp;$B$17&amp;LEFT(VLOOKUP($A89,Fremdsprache!$A$19:$Z$54,6,FALSE),1)&amp;$B$17&amp;LEFT(VLOOKUP($A89,Fremdsprache!$A$19:$Z$54,8,FALSE),1)&amp;$B$17&amp;LEFT(VLOOKUP($A89,Fremdsprache!$A$19:$Z$54,16,FALSE),1)))</f>
        <v>NN 24;VN 24;GD 24;E5;;;;</v>
      </c>
      <c r="D89" s="528"/>
      <c r="E89" s="154"/>
    </row>
    <row r="90" spans="1:5" s="13" customFormat="1" ht="15.95" customHeight="1" x14ac:dyDescent="0.2">
      <c r="A90" s="167">
        <v>24</v>
      </c>
      <c r="B90" s="525" t="s">
        <v>277</v>
      </c>
      <c r="C90" s="526" t="str">
        <f>IF(VLOOKUP($A90,Vorgaben!$A$19:$H$54,3,FALSE)="","",(VLOOKUP($A90,Vorgaben!$A$19:$H$54,3,FALSE)&amp;$B$17&amp;VLOOKUP($A90,Vorgaben!$A$19:$H$54,4,FALSE)&amp;$B$17&amp;TEXT(VLOOKUP($A90,Vorgaben!$A$19:$H$54,5,FALSE),"TT.MM.JJJJ")&amp;$B$17&amp;$B90&amp;$B$17&amp;LEFT(VLOOKUP($A90,Mathematik!$A$19:$Z$54,26,FALSE),1)&amp;$B$17&amp;LEFT(VLOOKUP($A90,Mathematik!$A$19:$Z$54,6,FALSE),1)&amp;$B$17&amp;LEFT(VLOOKUP($A90,Mathematik!$A$19:$Z$54,8,FALSE),1)&amp;$B$17&amp;LEFT(VLOOKUP($A90,Mathematik!$A$19:$Z$54,16,FALSE),1)))</f>
        <v>NN 24;VN 24;GD 24;M;;;;</v>
      </c>
      <c r="D90" s="528"/>
      <c r="E90" s="154"/>
    </row>
    <row r="91" spans="1:5" s="13" customFormat="1" ht="15.95" customHeight="1" x14ac:dyDescent="0.2">
      <c r="A91" s="167">
        <v>25</v>
      </c>
      <c r="B91" s="525" t="s">
        <v>276</v>
      </c>
      <c r="C91" s="526" t="str">
        <f>IF(VLOOKUP($A91,Vorgaben!$A$19:$H$54,3,FALSE)="","",(VLOOKUP($A91,Vorgaben!$A$19:$H$54,3,FALSE)&amp;$B$17&amp;VLOOKUP($A91,Vorgaben!$A$19:$H$54,4,FALSE)&amp;$B$17&amp;TEXT(VLOOKUP($A91,Vorgaben!$A$19:$H$54,5,FALSE),"TT.MM.JJJJ")&amp;$B$17&amp;$B91&amp;$B$17&amp;LEFT(VLOOKUP($A91,Deutsch!$A$19:$Z$54,26,FALSE),1)&amp;$B$17&amp;LEFT(VLOOKUP($A91,Deutsch!$A$19:$Z$54,6,FALSE),1)&amp;$B$17&amp;LEFT(VLOOKUP($A91,Deutsch!$A$19:$Z$54,8,FALSE),1)&amp;$B$17&amp;LEFT(VLOOKUP($A91,Deutsch!$A$19:$Z$54,16,FALSE),1)))</f>
        <v>NN 25;VN 25;GD 25;D;;;;</v>
      </c>
      <c r="D91" s="528"/>
      <c r="E91" s="154"/>
    </row>
    <row r="92" spans="1:5" s="13" customFormat="1" ht="15.95" customHeight="1" x14ac:dyDescent="0.2">
      <c r="A92" s="167">
        <v>25</v>
      </c>
      <c r="B92" s="525" t="str">
        <f>VLOOKUP($A92,Vorgaben!$A$19:$H$54,8,FALSE)</f>
        <v>E5</v>
      </c>
      <c r="C92" s="526" t="str">
        <f>IF(VLOOKUP($A92,Vorgaben!$A$19:$H$54,3,FALSE)="","",(VLOOKUP($A92,Vorgaben!$A$19:$H$54,3,FALSE)&amp;$B$17&amp;VLOOKUP($A92,Vorgaben!$A$19:$H$54,4,FALSE)&amp;$B$17&amp;TEXT(VLOOKUP($A92,Vorgaben!$A$19:$H$54,5,FALSE),"TT.MM.JJJJ")&amp;$B$17&amp;$B92&amp;$B$17&amp;LEFT(VLOOKUP($A92,Fremdsprache!$A$19:$Z$54,26,FALSE),1)&amp;$B$17&amp;LEFT(VLOOKUP($A92,Fremdsprache!$A$19:$Z$54,6,FALSE),1)&amp;$B$17&amp;LEFT(VLOOKUP($A92,Fremdsprache!$A$19:$Z$54,8,FALSE),1)&amp;$B$17&amp;LEFT(VLOOKUP($A92,Fremdsprache!$A$19:$Z$54,16,FALSE),1)))</f>
        <v>NN 25;VN 25;GD 25;E5;;;;</v>
      </c>
      <c r="D92" s="528"/>
      <c r="E92" s="154"/>
    </row>
    <row r="93" spans="1:5" s="13" customFormat="1" ht="15.95" customHeight="1" x14ac:dyDescent="0.2">
      <c r="A93" s="167">
        <v>25</v>
      </c>
      <c r="B93" s="525" t="s">
        <v>277</v>
      </c>
      <c r="C93" s="526" t="str">
        <f>IF(VLOOKUP($A93,Vorgaben!$A$19:$H$54,3,FALSE)="","",(VLOOKUP($A93,Vorgaben!$A$19:$H$54,3,FALSE)&amp;$B$17&amp;VLOOKUP($A93,Vorgaben!$A$19:$H$54,4,FALSE)&amp;$B$17&amp;TEXT(VLOOKUP($A93,Vorgaben!$A$19:$H$54,5,FALSE),"TT.MM.JJJJ")&amp;$B$17&amp;$B93&amp;$B$17&amp;LEFT(VLOOKUP($A93,Mathematik!$A$19:$Z$54,26,FALSE),1)&amp;$B$17&amp;LEFT(VLOOKUP($A93,Mathematik!$A$19:$Z$54,6,FALSE),1)&amp;$B$17&amp;LEFT(VLOOKUP($A93,Mathematik!$A$19:$Z$54,8,FALSE),1)&amp;$B$17&amp;LEFT(VLOOKUP($A93,Mathematik!$A$19:$Z$54,16,FALSE),1)))</f>
        <v>NN 25;VN 25;GD 25;M;;;;</v>
      </c>
      <c r="D93" s="528"/>
      <c r="E93" s="154"/>
    </row>
    <row r="94" spans="1:5" s="13" customFormat="1" ht="15.95" customHeight="1" x14ac:dyDescent="0.2">
      <c r="A94" s="167">
        <v>26</v>
      </c>
      <c r="B94" s="525" t="s">
        <v>276</v>
      </c>
      <c r="C94" s="526" t="str">
        <f>IF(VLOOKUP($A94,Vorgaben!$A$19:$H$54,3,FALSE)="","",(VLOOKUP($A94,Vorgaben!$A$19:$H$54,3,FALSE)&amp;$B$17&amp;VLOOKUP($A94,Vorgaben!$A$19:$H$54,4,FALSE)&amp;$B$17&amp;TEXT(VLOOKUP($A94,Vorgaben!$A$19:$H$54,5,FALSE),"TT.MM.JJJJ")&amp;$B$17&amp;$B94&amp;$B$17&amp;LEFT(VLOOKUP($A94,Deutsch!$A$19:$Z$54,26,FALSE),1)&amp;$B$17&amp;LEFT(VLOOKUP($A94,Deutsch!$A$19:$Z$54,6,FALSE),1)&amp;$B$17&amp;LEFT(VLOOKUP($A94,Deutsch!$A$19:$Z$54,8,FALSE),1)&amp;$B$17&amp;LEFT(VLOOKUP($A94,Deutsch!$A$19:$Z$54,16,FALSE),1)))</f>
        <v>NN 26;VN 26;GD 26;D;;;;</v>
      </c>
      <c r="D94" s="528"/>
      <c r="E94" s="154"/>
    </row>
    <row r="95" spans="1:5" s="13" customFormat="1" ht="15.95" customHeight="1" x14ac:dyDescent="0.2">
      <c r="A95" s="167">
        <v>26</v>
      </c>
      <c r="B95" s="525" t="str">
        <f>VLOOKUP($A95,Vorgaben!$A$19:$H$54,8,FALSE)</f>
        <v>E5</v>
      </c>
      <c r="C95" s="526" t="str">
        <f>IF(VLOOKUP($A95,Vorgaben!$A$19:$H$54,3,FALSE)="","",(VLOOKUP($A95,Vorgaben!$A$19:$H$54,3,FALSE)&amp;$B$17&amp;VLOOKUP($A95,Vorgaben!$A$19:$H$54,4,FALSE)&amp;$B$17&amp;TEXT(VLOOKUP($A95,Vorgaben!$A$19:$H$54,5,FALSE),"TT.MM.JJJJ")&amp;$B$17&amp;$B95&amp;$B$17&amp;LEFT(VLOOKUP($A95,Fremdsprache!$A$19:$Z$54,26,FALSE),1)&amp;$B$17&amp;LEFT(VLOOKUP($A95,Fremdsprache!$A$19:$Z$54,6,FALSE),1)&amp;$B$17&amp;LEFT(VLOOKUP($A95,Fremdsprache!$A$19:$Z$54,8,FALSE),1)&amp;$B$17&amp;LEFT(VLOOKUP($A95,Fremdsprache!$A$19:$Z$54,16,FALSE),1)))</f>
        <v>NN 26;VN 26;GD 26;E5;;;;</v>
      </c>
      <c r="D95" s="528"/>
      <c r="E95" s="154"/>
    </row>
    <row r="96" spans="1:5" s="13" customFormat="1" ht="15.95" customHeight="1" x14ac:dyDescent="0.2">
      <c r="A96" s="167">
        <v>26</v>
      </c>
      <c r="B96" s="525" t="s">
        <v>277</v>
      </c>
      <c r="C96" s="526" t="str">
        <f>IF(VLOOKUP($A96,Vorgaben!$A$19:$H$54,3,FALSE)="","",(VLOOKUP($A96,Vorgaben!$A$19:$H$54,3,FALSE)&amp;$B$17&amp;VLOOKUP($A96,Vorgaben!$A$19:$H$54,4,FALSE)&amp;$B$17&amp;TEXT(VLOOKUP($A96,Vorgaben!$A$19:$H$54,5,FALSE),"TT.MM.JJJJ")&amp;$B$17&amp;$B96&amp;$B$17&amp;LEFT(VLOOKUP($A96,Mathematik!$A$19:$Z$54,26,FALSE),1)&amp;$B$17&amp;LEFT(VLOOKUP($A96,Mathematik!$A$19:$Z$54,6,FALSE),1)&amp;$B$17&amp;LEFT(VLOOKUP($A96,Mathematik!$A$19:$Z$54,8,FALSE),1)&amp;$B$17&amp;LEFT(VLOOKUP($A96,Mathematik!$A$19:$Z$54,16,FALSE),1)))</f>
        <v>NN 26;VN 26;GD 26;M;;;;</v>
      </c>
      <c r="D96" s="528"/>
      <c r="E96" s="154"/>
    </row>
    <row r="97" spans="1:5" s="13" customFormat="1" ht="15.95" customHeight="1" x14ac:dyDescent="0.2">
      <c r="A97" s="167">
        <v>27</v>
      </c>
      <c r="B97" s="525" t="s">
        <v>276</v>
      </c>
      <c r="C97" s="526" t="str">
        <f>IF(VLOOKUP($A97,Vorgaben!$A$19:$H$54,3,FALSE)="","",(VLOOKUP($A97,Vorgaben!$A$19:$H$54,3,FALSE)&amp;$B$17&amp;VLOOKUP($A97,Vorgaben!$A$19:$H$54,4,FALSE)&amp;$B$17&amp;TEXT(VLOOKUP($A97,Vorgaben!$A$19:$H$54,5,FALSE),"TT.MM.JJJJ")&amp;$B$17&amp;$B97&amp;$B$17&amp;LEFT(VLOOKUP($A97,Deutsch!$A$19:$Z$54,26,FALSE),1)&amp;$B$17&amp;LEFT(VLOOKUP($A97,Deutsch!$A$19:$Z$54,6,FALSE),1)&amp;$B$17&amp;LEFT(VLOOKUP($A97,Deutsch!$A$19:$Z$54,8,FALSE),1)&amp;$B$17&amp;LEFT(VLOOKUP($A97,Deutsch!$A$19:$Z$54,16,FALSE),1)))</f>
        <v>NN 27;VN 27;GD 27;D;;;;</v>
      </c>
      <c r="D97" s="528"/>
      <c r="E97" s="154"/>
    </row>
    <row r="98" spans="1:5" s="13" customFormat="1" ht="15.95" customHeight="1" x14ac:dyDescent="0.2">
      <c r="A98" s="167">
        <v>27</v>
      </c>
      <c r="B98" s="525" t="str">
        <f>VLOOKUP($A98,Vorgaben!$A$19:$H$54,8,FALSE)</f>
        <v>E5</v>
      </c>
      <c r="C98" s="526" t="str">
        <f>IF(VLOOKUP($A98,Vorgaben!$A$19:$H$54,3,FALSE)="","",(VLOOKUP($A98,Vorgaben!$A$19:$H$54,3,FALSE)&amp;$B$17&amp;VLOOKUP($A98,Vorgaben!$A$19:$H$54,4,FALSE)&amp;$B$17&amp;TEXT(VLOOKUP($A98,Vorgaben!$A$19:$H$54,5,FALSE),"TT.MM.JJJJ")&amp;$B$17&amp;$B98&amp;$B$17&amp;LEFT(VLOOKUP($A98,Fremdsprache!$A$19:$Z$54,26,FALSE),1)&amp;$B$17&amp;LEFT(VLOOKUP($A98,Fremdsprache!$A$19:$Z$54,6,FALSE),1)&amp;$B$17&amp;LEFT(VLOOKUP($A98,Fremdsprache!$A$19:$Z$54,8,FALSE),1)&amp;$B$17&amp;LEFT(VLOOKUP($A98,Fremdsprache!$A$19:$Z$54,16,FALSE),1)))</f>
        <v>NN 27;VN 27;GD 27;E5;;;;</v>
      </c>
      <c r="D98" s="528"/>
      <c r="E98" s="154"/>
    </row>
    <row r="99" spans="1:5" s="13" customFormat="1" ht="15.95" customHeight="1" x14ac:dyDescent="0.2">
      <c r="A99" s="167">
        <v>27</v>
      </c>
      <c r="B99" s="525" t="s">
        <v>277</v>
      </c>
      <c r="C99" s="526" t="str">
        <f>IF(VLOOKUP($A99,Vorgaben!$A$19:$H$54,3,FALSE)="","",(VLOOKUP($A99,Vorgaben!$A$19:$H$54,3,FALSE)&amp;$B$17&amp;VLOOKUP($A99,Vorgaben!$A$19:$H$54,4,FALSE)&amp;$B$17&amp;TEXT(VLOOKUP($A99,Vorgaben!$A$19:$H$54,5,FALSE),"TT.MM.JJJJ")&amp;$B$17&amp;$B99&amp;$B$17&amp;LEFT(VLOOKUP($A99,Mathematik!$A$19:$Z$54,26,FALSE),1)&amp;$B$17&amp;LEFT(VLOOKUP($A99,Mathematik!$A$19:$Z$54,6,FALSE),1)&amp;$B$17&amp;LEFT(VLOOKUP($A99,Mathematik!$A$19:$Z$54,8,FALSE),1)&amp;$B$17&amp;LEFT(VLOOKUP($A99,Mathematik!$A$19:$Z$54,16,FALSE),1)))</f>
        <v>NN 27;VN 27;GD 27;M;;;;</v>
      </c>
      <c r="D99" s="528"/>
      <c r="E99" s="154"/>
    </row>
    <row r="100" spans="1:5" s="13" customFormat="1" ht="15.95" customHeight="1" x14ac:dyDescent="0.2">
      <c r="A100" s="167">
        <v>28</v>
      </c>
      <c r="B100" s="525" t="s">
        <v>276</v>
      </c>
      <c r="C100" s="526" t="str">
        <f>IF(VLOOKUP($A100,Vorgaben!$A$19:$H$54,3,FALSE)="","",(VLOOKUP($A100,Vorgaben!$A$19:$H$54,3,FALSE)&amp;$B$17&amp;VLOOKUP($A100,Vorgaben!$A$19:$H$54,4,FALSE)&amp;$B$17&amp;TEXT(VLOOKUP($A100,Vorgaben!$A$19:$H$54,5,FALSE),"TT.MM.JJJJ")&amp;$B$17&amp;$B100&amp;$B$17&amp;LEFT(VLOOKUP($A100,Deutsch!$A$19:$Z$54,26,FALSE),1)&amp;$B$17&amp;LEFT(VLOOKUP($A100,Deutsch!$A$19:$Z$54,6,FALSE),1)&amp;$B$17&amp;LEFT(VLOOKUP($A100,Deutsch!$A$19:$Z$54,8,FALSE),1)&amp;$B$17&amp;LEFT(VLOOKUP($A100,Deutsch!$A$19:$Z$54,16,FALSE),1)))</f>
        <v>NN 28;VN 28;GD 28;D;;;;</v>
      </c>
      <c r="D100" s="528"/>
      <c r="E100" s="154"/>
    </row>
    <row r="101" spans="1:5" s="13" customFormat="1" ht="15.95" customHeight="1" x14ac:dyDescent="0.2">
      <c r="A101" s="167">
        <v>28</v>
      </c>
      <c r="B101" s="525" t="str">
        <f>VLOOKUP($A101,Vorgaben!$A$19:$H$54,8,FALSE)</f>
        <v>E5</v>
      </c>
      <c r="C101" s="526" t="str">
        <f>IF(VLOOKUP($A101,Vorgaben!$A$19:$H$54,3,FALSE)="","",(VLOOKUP($A101,Vorgaben!$A$19:$H$54,3,FALSE)&amp;$B$17&amp;VLOOKUP($A101,Vorgaben!$A$19:$H$54,4,FALSE)&amp;$B$17&amp;TEXT(VLOOKUP($A101,Vorgaben!$A$19:$H$54,5,FALSE),"TT.MM.JJJJ")&amp;$B$17&amp;$B101&amp;$B$17&amp;LEFT(VLOOKUP($A101,Fremdsprache!$A$19:$Z$54,26,FALSE),1)&amp;$B$17&amp;LEFT(VLOOKUP($A101,Fremdsprache!$A$19:$Z$54,6,FALSE),1)&amp;$B$17&amp;LEFT(VLOOKUP($A101,Fremdsprache!$A$19:$Z$54,8,FALSE),1)&amp;$B$17&amp;LEFT(VLOOKUP($A101,Fremdsprache!$A$19:$Z$54,16,FALSE),1)))</f>
        <v>NN 28;VN 28;GD 28;E5;;;;</v>
      </c>
      <c r="D101" s="528"/>
      <c r="E101" s="154"/>
    </row>
    <row r="102" spans="1:5" s="13" customFormat="1" ht="15.95" customHeight="1" x14ac:dyDescent="0.2">
      <c r="A102" s="167">
        <v>28</v>
      </c>
      <c r="B102" s="525" t="s">
        <v>277</v>
      </c>
      <c r="C102" s="526" t="str">
        <f>IF(VLOOKUP($A102,Vorgaben!$A$19:$H$54,3,FALSE)="","",(VLOOKUP($A102,Vorgaben!$A$19:$H$54,3,FALSE)&amp;$B$17&amp;VLOOKUP($A102,Vorgaben!$A$19:$H$54,4,FALSE)&amp;$B$17&amp;TEXT(VLOOKUP($A102,Vorgaben!$A$19:$H$54,5,FALSE),"TT.MM.JJJJ")&amp;$B$17&amp;$B102&amp;$B$17&amp;LEFT(VLOOKUP($A102,Mathematik!$A$19:$Z$54,26,FALSE),1)&amp;$B$17&amp;LEFT(VLOOKUP($A102,Mathematik!$A$19:$Z$54,6,FALSE),1)&amp;$B$17&amp;LEFT(VLOOKUP($A102,Mathematik!$A$19:$Z$54,8,FALSE),1)&amp;$B$17&amp;LEFT(VLOOKUP($A102,Mathematik!$A$19:$Z$54,16,FALSE),1)))</f>
        <v>NN 28;VN 28;GD 28;M;;;;</v>
      </c>
      <c r="D102" s="528"/>
      <c r="E102" s="154"/>
    </row>
    <row r="103" spans="1:5" s="13" customFormat="1" ht="15.95" customHeight="1" x14ac:dyDescent="0.2">
      <c r="A103" s="167">
        <v>29</v>
      </c>
      <c r="B103" s="525" t="s">
        <v>276</v>
      </c>
      <c r="C103" s="526" t="str">
        <f>IF(VLOOKUP($A103,Vorgaben!$A$19:$H$54,3,FALSE)="","",(VLOOKUP($A103,Vorgaben!$A$19:$H$54,3,FALSE)&amp;$B$17&amp;VLOOKUP($A103,Vorgaben!$A$19:$H$54,4,FALSE)&amp;$B$17&amp;TEXT(VLOOKUP($A103,Vorgaben!$A$19:$H$54,5,FALSE),"TT.MM.JJJJ")&amp;$B$17&amp;$B103&amp;$B$17&amp;LEFT(VLOOKUP($A103,Deutsch!$A$19:$Z$54,26,FALSE),1)&amp;$B$17&amp;LEFT(VLOOKUP($A103,Deutsch!$A$19:$Z$54,6,FALSE),1)&amp;$B$17&amp;LEFT(VLOOKUP($A103,Deutsch!$A$19:$Z$54,8,FALSE),1)&amp;$B$17&amp;LEFT(VLOOKUP($A103,Deutsch!$A$19:$Z$54,16,FALSE),1)))</f>
        <v>NN 29;VN 29;GD 29;D;;;;</v>
      </c>
      <c r="D103" s="528"/>
      <c r="E103" s="154"/>
    </row>
    <row r="104" spans="1:5" s="13" customFormat="1" ht="15.95" customHeight="1" x14ac:dyDescent="0.2">
      <c r="A104" s="167">
        <v>29</v>
      </c>
      <c r="B104" s="525" t="str">
        <f>VLOOKUP($A104,Vorgaben!$A$19:$H$54,8,FALSE)</f>
        <v>E5</v>
      </c>
      <c r="C104" s="526" t="str">
        <f>IF(VLOOKUP($A104,Vorgaben!$A$19:$H$54,3,FALSE)="","",(VLOOKUP($A104,Vorgaben!$A$19:$H$54,3,FALSE)&amp;$B$17&amp;VLOOKUP($A104,Vorgaben!$A$19:$H$54,4,FALSE)&amp;$B$17&amp;TEXT(VLOOKUP($A104,Vorgaben!$A$19:$H$54,5,FALSE),"TT.MM.JJJJ")&amp;$B$17&amp;$B104&amp;$B$17&amp;LEFT(VLOOKUP($A104,Fremdsprache!$A$19:$Z$54,26,FALSE),1)&amp;$B$17&amp;LEFT(VLOOKUP($A104,Fremdsprache!$A$19:$Z$54,6,FALSE),1)&amp;$B$17&amp;LEFT(VLOOKUP($A104,Fremdsprache!$A$19:$Z$54,8,FALSE),1)&amp;$B$17&amp;LEFT(VLOOKUP($A104,Fremdsprache!$A$19:$Z$54,16,FALSE),1)))</f>
        <v>NN 29;VN 29;GD 29;E5;;;;</v>
      </c>
      <c r="D104" s="528"/>
      <c r="E104" s="154"/>
    </row>
    <row r="105" spans="1:5" s="13" customFormat="1" ht="15.95" customHeight="1" x14ac:dyDescent="0.2">
      <c r="A105" s="167">
        <v>29</v>
      </c>
      <c r="B105" s="525" t="s">
        <v>277</v>
      </c>
      <c r="C105" s="526" t="str">
        <f>IF(VLOOKUP($A105,Vorgaben!$A$19:$H$54,3,FALSE)="","",(VLOOKUP($A105,Vorgaben!$A$19:$H$54,3,FALSE)&amp;$B$17&amp;VLOOKUP($A105,Vorgaben!$A$19:$H$54,4,FALSE)&amp;$B$17&amp;TEXT(VLOOKUP($A105,Vorgaben!$A$19:$H$54,5,FALSE),"TT.MM.JJJJ")&amp;$B$17&amp;$B105&amp;$B$17&amp;LEFT(VLOOKUP($A105,Mathematik!$A$19:$Z$54,26,FALSE),1)&amp;$B$17&amp;LEFT(VLOOKUP($A105,Mathematik!$A$19:$Z$54,6,FALSE),1)&amp;$B$17&amp;LEFT(VLOOKUP($A105,Mathematik!$A$19:$Z$54,8,FALSE),1)&amp;$B$17&amp;LEFT(VLOOKUP($A105,Mathematik!$A$19:$Z$54,16,FALSE),1)))</f>
        <v>NN 29;VN 29;GD 29;M;;;;</v>
      </c>
      <c r="D105" s="528"/>
      <c r="E105" s="154"/>
    </row>
    <row r="106" spans="1:5" s="13" customFormat="1" ht="15.95" customHeight="1" x14ac:dyDescent="0.2">
      <c r="A106" s="167">
        <v>30</v>
      </c>
      <c r="B106" s="525" t="s">
        <v>276</v>
      </c>
      <c r="C106" s="526" t="str">
        <f>IF(VLOOKUP($A106,Vorgaben!$A$19:$H$54,3,FALSE)="","",(VLOOKUP($A106,Vorgaben!$A$19:$H$54,3,FALSE)&amp;$B$17&amp;VLOOKUP($A106,Vorgaben!$A$19:$H$54,4,FALSE)&amp;$B$17&amp;TEXT(VLOOKUP($A106,Vorgaben!$A$19:$H$54,5,FALSE),"TT.MM.JJJJ")&amp;$B$17&amp;$B106&amp;$B$17&amp;LEFT(VLOOKUP($A106,Deutsch!$A$19:$Z$54,26,FALSE),1)&amp;$B$17&amp;LEFT(VLOOKUP($A106,Deutsch!$A$19:$Z$54,6,FALSE),1)&amp;$B$17&amp;LEFT(VLOOKUP($A106,Deutsch!$A$19:$Z$54,8,FALSE),1)&amp;$B$17&amp;LEFT(VLOOKUP($A106,Deutsch!$A$19:$Z$54,16,FALSE),1)))</f>
        <v>NN 30;VN 30;GD 30;D;;;;</v>
      </c>
      <c r="D106" s="528"/>
      <c r="E106" s="154"/>
    </row>
    <row r="107" spans="1:5" s="13" customFormat="1" ht="15.95" customHeight="1" x14ac:dyDescent="0.2">
      <c r="A107" s="167">
        <v>30</v>
      </c>
      <c r="B107" s="525" t="str">
        <f>VLOOKUP($A107,Vorgaben!$A$19:$H$54,8,FALSE)</f>
        <v>E5</v>
      </c>
      <c r="C107" s="526" t="str">
        <f>IF(VLOOKUP($A107,Vorgaben!$A$19:$H$54,3,FALSE)="","",(VLOOKUP($A107,Vorgaben!$A$19:$H$54,3,FALSE)&amp;$B$17&amp;VLOOKUP($A107,Vorgaben!$A$19:$H$54,4,FALSE)&amp;$B$17&amp;TEXT(VLOOKUP($A107,Vorgaben!$A$19:$H$54,5,FALSE),"TT.MM.JJJJ")&amp;$B$17&amp;$B107&amp;$B$17&amp;LEFT(VLOOKUP($A107,Fremdsprache!$A$19:$Z$54,26,FALSE),1)&amp;$B$17&amp;LEFT(VLOOKUP($A107,Fremdsprache!$A$19:$Z$54,6,FALSE),1)&amp;$B$17&amp;LEFT(VLOOKUP($A107,Fremdsprache!$A$19:$Z$54,8,FALSE),1)&amp;$B$17&amp;LEFT(VLOOKUP($A107,Fremdsprache!$A$19:$Z$54,16,FALSE),1)))</f>
        <v>NN 30;VN 30;GD 30;E5;;;;</v>
      </c>
      <c r="D107" s="528"/>
      <c r="E107" s="154"/>
    </row>
    <row r="108" spans="1:5" s="13" customFormat="1" ht="15.95" customHeight="1" x14ac:dyDescent="0.2">
      <c r="A108" s="167">
        <v>30</v>
      </c>
      <c r="B108" s="525" t="s">
        <v>277</v>
      </c>
      <c r="C108" s="526" t="str">
        <f>IF(VLOOKUP($A108,Vorgaben!$A$19:$H$54,3,FALSE)="","",(VLOOKUP($A108,Vorgaben!$A$19:$H$54,3,FALSE)&amp;$B$17&amp;VLOOKUP($A108,Vorgaben!$A$19:$H$54,4,FALSE)&amp;$B$17&amp;TEXT(VLOOKUP($A108,Vorgaben!$A$19:$H$54,5,FALSE),"TT.MM.JJJJ")&amp;$B$17&amp;$B108&amp;$B$17&amp;LEFT(VLOOKUP($A108,Mathematik!$A$19:$Z$54,26,FALSE),1)&amp;$B$17&amp;LEFT(VLOOKUP($A108,Mathematik!$A$19:$Z$54,6,FALSE),1)&amp;$B$17&amp;LEFT(VLOOKUP($A108,Mathematik!$A$19:$Z$54,8,FALSE),1)&amp;$B$17&amp;LEFT(VLOOKUP($A108,Mathematik!$A$19:$Z$54,16,FALSE),1)))</f>
        <v>NN 30;VN 30;GD 30;M;;;;</v>
      </c>
      <c r="D108" s="528"/>
      <c r="E108" s="154"/>
    </row>
    <row r="109" spans="1:5" s="13" customFormat="1" ht="15.95" customHeight="1" x14ac:dyDescent="0.2">
      <c r="A109" s="167">
        <v>31</v>
      </c>
      <c r="B109" s="525" t="s">
        <v>276</v>
      </c>
      <c r="C109" s="526" t="str">
        <f>IF(VLOOKUP($A109,Vorgaben!$A$19:$H$54,3,FALSE)="","",(VLOOKUP($A109,Vorgaben!$A$19:$H$54,3,FALSE)&amp;$B$17&amp;VLOOKUP($A109,Vorgaben!$A$19:$H$54,4,FALSE)&amp;$B$17&amp;TEXT(VLOOKUP($A109,Vorgaben!$A$19:$H$54,5,FALSE),"TT.MM.JJJJ")&amp;$B$17&amp;$B109&amp;$B$17&amp;LEFT(VLOOKUP($A109,Deutsch!$A$19:$Z$54,26,FALSE),1)&amp;$B$17&amp;LEFT(VLOOKUP($A109,Deutsch!$A$19:$Z$54,6,FALSE),1)&amp;$B$17&amp;LEFT(VLOOKUP($A109,Deutsch!$A$19:$Z$54,8,FALSE),1)&amp;$B$17&amp;LEFT(VLOOKUP($A109,Deutsch!$A$19:$Z$54,16,FALSE),1)))</f>
        <v>NN 31;VN 31;GD 31;D;;;;</v>
      </c>
      <c r="D109" s="528"/>
      <c r="E109" s="154"/>
    </row>
    <row r="110" spans="1:5" s="13" customFormat="1" ht="15.95" customHeight="1" x14ac:dyDescent="0.2">
      <c r="A110" s="167">
        <v>31</v>
      </c>
      <c r="B110" s="525" t="str">
        <f>VLOOKUP($A110,Vorgaben!$A$19:$H$54,8,FALSE)</f>
        <v>E5</v>
      </c>
      <c r="C110" s="526" t="str">
        <f>IF(VLOOKUP($A110,Vorgaben!$A$19:$H$54,3,FALSE)="","",(VLOOKUP($A110,Vorgaben!$A$19:$H$54,3,FALSE)&amp;$B$17&amp;VLOOKUP($A110,Vorgaben!$A$19:$H$54,4,FALSE)&amp;$B$17&amp;TEXT(VLOOKUP($A110,Vorgaben!$A$19:$H$54,5,FALSE),"TT.MM.JJJJ")&amp;$B$17&amp;$B110&amp;$B$17&amp;LEFT(VLOOKUP($A110,Fremdsprache!$A$19:$Z$54,26,FALSE),1)&amp;$B$17&amp;LEFT(VLOOKUP($A110,Fremdsprache!$A$19:$Z$54,6,FALSE),1)&amp;$B$17&amp;LEFT(VLOOKUP($A110,Fremdsprache!$A$19:$Z$54,8,FALSE),1)&amp;$B$17&amp;LEFT(VLOOKUP($A110,Fremdsprache!$A$19:$Z$54,16,FALSE),1)))</f>
        <v>NN 31;VN 31;GD 31;E5;;;;</v>
      </c>
      <c r="D110" s="528"/>
      <c r="E110" s="154"/>
    </row>
    <row r="111" spans="1:5" s="13" customFormat="1" ht="15.95" customHeight="1" x14ac:dyDescent="0.2">
      <c r="A111" s="167">
        <v>31</v>
      </c>
      <c r="B111" s="525" t="s">
        <v>277</v>
      </c>
      <c r="C111" s="526" t="str">
        <f>IF(VLOOKUP($A111,Vorgaben!$A$19:$H$54,3,FALSE)="","",(VLOOKUP($A111,Vorgaben!$A$19:$H$54,3,FALSE)&amp;$B$17&amp;VLOOKUP($A111,Vorgaben!$A$19:$H$54,4,FALSE)&amp;$B$17&amp;TEXT(VLOOKUP($A111,Vorgaben!$A$19:$H$54,5,FALSE),"TT.MM.JJJJ")&amp;$B$17&amp;$B111&amp;$B$17&amp;LEFT(VLOOKUP($A111,Mathematik!$A$19:$Z$54,26,FALSE),1)&amp;$B$17&amp;LEFT(VLOOKUP($A111,Mathematik!$A$19:$Z$54,6,FALSE),1)&amp;$B$17&amp;LEFT(VLOOKUP($A111,Mathematik!$A$19:$Z$54,8,FALSE),1)&amp;$B$17&amp;LEFT(VLOOKUP($A111,Mathematik!$A$19:$Z$54,16,FALSE),1)))</f>
        <v>NN 31;VN 31;GD 31;M;;;;</v>
      </c>
      <c r="D111" s="528"/>
      <c r="E111" s="154"/>
    </row>
    <row r="112" spans="1:5" s="13" customFormat="1" ht="15.95" customHeight="1" x14ac:dyDescent="0.2">
      <c r="A112" s="167">
        <v>32</v>
      </c>
      <c r="B112" s="525" t="s">
        <v>276</v>
      </c>
      <c r="C112" s="526" t="str">
        <f>IF(VLOOKUP($A112,Vorgaben!$A$19:$H$54,3,FALSE)="","",(VLOOKUP($A112,Vorgaben!$A$19:$H$54,3,FALSE)&amp;$B$17&amp;VLOOKUP($A112,Vorgaben!$A$19:$H$54,4,FALSE)&amp;$B$17&amp;TEXT(VLOOKUP($A112,Vorgaben!$A$19:$H$54,5,FALSE),"TT.MM.JJJJ")&amp;$B$17&amp;$B112&amp;$B$17&amp;LEFT(VLOOKUP($A112,Deutsch!$A$19:$Z$54,26,FALSE),1)&amp;$B$17&amp;LEFT(VLOOKUP($A112,Deutsch!$A$19:$Z$54,6,FALSE),1)&amp;$B$17&amp;LEFT(VLOOKUP($A112,Deutsch!$A$19:$Z$54,8,FALSE),1)&amp;$B$17&amp;LEFT(VLOOKUP($A112,Deutsch!$A$19:$Z$54,16,FALSE),1)))</f>
        <v>NN 32;VN 32;GD 32;D;;;;</v>
      </c>
      <c r="D112" s="528"/>
      <c r="E112" s="154"/>
    </row>
    <row r="113" spans="1:5" s="13" customFormat="1" ht="15.95" customHeight="1" x14ac:dyDescent="0.2">
      <c r="A113" s="167">
        <v>32</v>
      </c>
      <c r="B113" s="525" t="str">
        <f>VLOOKUP($A113,Vorgaben!$A$19:$H$54,8,FALSE)</f>
        <v>E5</v>
      </c>
      <c r="C113" s="526" t="str">
        <f>IF(VLOOKUP($A113,Vorgaben!$A$19:$H$54,3,FALSE)="","",(VLOOKUP($A113,Vorgaben!$A$19:$H$54,3,FALSE)&amp;$B$17&amp;VLOOKUP($A113,Vorgaben!$A$19:$H$54,4,FALSE)&amp;$B$17&amp;TEXT(VLOOKUP($A113,Vorgaben!$A$19:$H$54,5,FALSE),"TT.MM.JJJJ")&amp;$B$17&amp;$B113&amp;$B$17&amp;LEFT(VLOOKUP($A113,Fremdsprache!$A$19:$Z$54,26,FALSE),1)&amp;$B$17&amp;LEFT(VLOOKUP($A113,Fremdsprache!$A$19:$Z$54,6,FALSE),1)&amp;$B$17&amp;LEFT(VLOOKUP($A113,Fremdsprache!$A$19:$Z$54,8,FALSE),1)&amp;$B$17&amp;LEFT(VLOOKUP($A113,Fremdsprache!$A$19:$Z$54,16,FALSE),1)))</f>
        <v>NN 32;VN 32;GD 32;E5;;;;</v>
      </c>
      <c r="D113" s="528"/>
      <c r="E113" s="154"/>
    </row>
    <row r="114" spans="1:5" s="13" customFormat="1" ht="15.95" customHeight="1" x14ac:dyDescent="0.2">
      <c r="A114" s="167">
        <v>32</v>
      </c>
      <c r="B114" s="525" t="s">
        <v>277</v>
      </c>
      <c r="C114" s="526" t="str">
        <f>IF(VLOOKUP($A114,Vorgaben!$A$19:$H$54,3,FALSE)="","",(VLOOKUP($A114,Vorgaben!$A$19:$H$54,3,FALSE)&amp;$B$17&amp;VLOOKUP($A114,Vorgaben!$A$19:$H$54,4,FALSE)&amp;$B$17&amp;TEXT(VLOOKUP($A114,Vorgaben!$A$19:$H$54,5,FALSE),"TT.MM.JJJJ")&amp;$B$17&amp;$B114&amp;$B$17&amp;LEFT(VLOOKUP($A114,Mathematik!$A$19:$Z$54,26,FALSE),1)&amp;$B$17&amp;LEFT(VLOOKUP($A114,Mathematik!$A$19:$Z$54,6,FALSE),1)&amp;$B$17&amp;LEFT(VLOOKUP($A114,Mathematik!$A$19:$Z$54,8,FALSE),1)&amp;$B$17&amp;LEFT(VLOOKUP($A114,Mathematik!$A$19:$Z$54,16,FALSE),1)))</f>
        <v>NN 32;VN 32;GD 32;M;;;;</v>
      </c>
      <c r="D114" s="528"/>
      <c r="E114" s="154"/>
    </row>
    <row r="115" spans="1:5" s="13" customFormat="1" ht="15.95" customHeight="1" x14ac:dyDescent="0.2">
      <c r="A115" s="167">
        <v>33</v>
      </c>
      <c r="B115" s="525" t="s">
        <v>276</v>
      </c>
      <c r="C115" s="526" t="str">
        <f>IF(VLOOKUP($A115,Vorgaben!$A$19:$H$54,3,FALSE)="","",(VLOOKUP($A115,Vorgaben!$A$19:$H$54,3,FALSE)&amp;$B$17&amp;VLOOKUP($A115,Vorgaben!$A$19:$H$54,4,FALSE)&amp;$B$17&amp;TEXT(VLOOKUP($A115,Vorgaben!$A$19:$H$54,5,FALSE),"TT.MM.JJJJ")&amp;$B$17&amp;$B115&amp;$B$17&amp;LEFT(VLOOKUP($A115,Deutsch!$A$19:$Z$54,26,FALSE),1)&amp;$B$17&amp;LEFT(VLOOKUP($A115,Deutsch!$A$19:$Z$54,6,FALSE),1)&amp;$B$17&amp;LEFT(VLOOKUP($A115,Deutsch!$A$19:$Z$54,8,FALSE),1)&amp;$B$17&amp;LEFT(VLOOKUP($A115,Deutsch!$A$19:$Z$54,16,FALSE),1)))</f>
        <v>NN 33;VN 33;GD 33;D;;;;</v>
      </c>
      <c r="D115" s="528"/>
      <c r="E115" s="154"/>
    </row>
    <row r="116" spans="1:5" s="13" customFormat="1" ht="15.95" customHeight="1" x14ac:dyDescent="0.2">
      <c r="A116" s="167">
        <v>33</v>
      </c>
      <c r="B116" s="525" t="str">
        <f>VLOOKUP($A116,Vorgaben!$A$19:$H$54,8,FALSE)</f>
        <v>E5</v>
      </c>
      <c r="C116" s="526" t="str">
        <f>IF(VLOOKUP($A116,Vorgaben!$A$19:$H$54,3,FALSE)="","",(VLOOKUP($A116,Vorgaben!$A$19:$H$54,3,FALSE)&amp;$B$17&amp;VLOOKUP($A116,Vorgaben!$A$19:$H$54,4,FALSE)&amp;$B$17&amp;TEXT(VLOOKUP($A116,Vorgaben!$A$19:$H$54,5,FALSE),"TT.MM.JJJJ")&amp;$B$17&amp;$B116&amp;$B$17&amp;LEFT(VLOOKUP($A116,Fremdsprache!$A$19:$Z$54,26,FALSE),1)&amp;$B$17&amp;LEFT(VLOOKUP($A116,Fremdsprache!$A$19:$Z$54,6,FALSE),1)&amp;$B$17&amp;LEFT(VLOOKUP($A116,Fremdsprache!$A$19:$Z$54,8,FALSE),1)&amp;$B$17&amp;LEFT(VLOOKUP($A116,Fremdsprache!$A$19:$Z$54,16,FALSE),1)))</f>
        <v>NN 33;VN 33;GD 33;E5;;;;</v>
      </c>
      <c r="D116" s="528"/>
      <c r="E116" s="154"/>
    </row>
    <row r="117" spans="1:5" s="13" customFormat="1" ht="15.95" customHeight="1" x14ac:dyDescent="0.2">
      <c r="A117" s="167">
        <v>33</v>
      </c>
      <c r="B117" s="525" t="s">
        <v>277</v>
      </c>
      <c r="C117" s="526" t="str">
        <f>IF(VLOOKUP($A117,Vorgaben!$A$19:$H$54,3,FALSE)="","",(VLOOKUP($A117,Vorgaben!$A$19:$H$54,3,FALSE)&amp;$B$17&amp;VLOOKUP($A117,Vorgaben!$A$19:$H$54,4,FALSE)&amp;$B$17&amp;TEXT(VLOOKUP($A117,Vorgaben!$A$19:$H$54,5,FALSE),"TT.MM.JJJJ")&amp;$B$17&amp;$B117&amp;$B$17&amp;LEFT(VLOOKUP($A117,Mathematik!$A$19:$Z$54,26,FALSE),1)&amp;$B$17&amp;LEFT(VLOOKUP($A117,Mathematik!$A$19:$Z$54,6,FALSE),1)&amp;$B$17&amp;LEFT(VLOOKUP($A117,Mathematik!$A$19:$Z$54,8,FALSE),1)&amp;$B$17&amp;LEFT(VLOOKUP($A117,Mathematik!$A$19:$Z$54,16,FALSE),1)))</f>
        <v>NN 33;VN 33;GD 33;M;;;;</v>
      </c>
      <c r="D117" s="528"/>
      <c r="E117" s="154"/>
    </row>
    <row r="118" spans="1:5" s="13" customFormat="1" ht="15.95" customHeight="1" x14ac:dyDescent="0.2">
      <c r="A118" s="167">
        <v>34</v>
      </c>
      <c r="B118" s="525" t="s">
        <v>276</v>
      </c>
      <c r="C118" s="526" t="str">
        <f>IF(VLOOKUP($A118,Vorgaben!$A$19:$H$54,3,FALSE)="","",(VLOOKUP($A118,Vorgaben!$A$19:$H$54,3,FALSE)&amp;$B$17&amp;VLOOKUP($A118,Vorgaben!$A$19:$H$54,4,FALSE)&amp;$B$17&amp;TEXT(VLOOKUP($A118,Vorgaben!$A$19:$H$54,5,FALSE),"TT.MM.JJJJ")&amp;$B$17&amp;$B118&amp;$B$17&amp;LEFT(VLOOKUP($A118,Deutsch!$A$19:$Z$54,26,FALSE),1)&amp;$B$17&amp;LEFT(VLOOKUP($A118,Deutsch!$A$19:$Z$54,6,FALSE),1)&amp;$B$17&amp;LEFT(VLOOKUP($A118,Deutsch!$A$19:$Z$54,8,FALSE),1)&amp;$B$17&amp;LEFT(VLOOKUP($A118,Deutsch!$A$19:$Z$54,16,FALSE),1)))</f>
        <v>NN 34;VN 34;GD 34;D;;;;</v>
      </c>
      <c r="D118" s="528"/>
      <c r="E118" s="154"/>
    </row>
    <row r="119" spans="1:5" s="13" customFormat="1" ht="15.95" customHeight="1" x14ac:dyDescent="0.2">
      <c r="A119" s="167">
        <v>34</v>
      </c>
      <c r="B119" s="525" t="str">
        <f>VLOOKUP($A119,Vorgaben!$A$19:$H$54,8,FALSE)</f>
        <v>E5</v>
      </c>
      <c r="C119" s="526" t="str">
        <f>IF(VLOOKUP($A119,Vorgaben!$A$19:$H$54,3,FALSE)="","",(VLOOKUP($A119,Vorgaben!$A$19:$H$54,3,FALSE)&amp;$B$17&amp;VLOOKUP($A119,Vorgaben!$A$19:$H$54,4,FALSE)&amp;$B$17&amp;TEXT(VLOOKUP($A119,Vorgaben!$A$19:$H$54,5,FALSE),"TT.MM.JJJJ")&amp;$B$17&amp;$B119&amp;$B$17&amp;LEFT(VLOOKUP($A119,Fremdsprache!$A$19:$Z$54,26,FALSE),1)&amp;$B$17&amp;LEFT(VLOOKUP($A119,Fremdsprache!$A$19:$Z$54,6,FALSE),1)&amp;$B$17&amp;LEFT(VLOOKUP($A119,Fremdsprache!$A$19:$Z$54,8,FALSE),1)&amp;$B$17&amp;LEFT(VLOOKUP($A119,Fremdsprache!$A$19:$Z$54,16,FALSE),1)))</f>
        <v>NN 34;VN 34;GD 34;E5;;;;</v>
      </c>
      <c r="D119" s="528"/>
      <c r="E119" s="154"/>
    </row>
    <row r="120" spans="1:5" s="13" customFormat="1" ht="15.95" customHeight="1" x14ac:dyDescent="0.2">
      <c r="A120" s="167">
        <v>34</v>
      </c>
      <c r="B120" s="525" t="s">
        <v>277</v>
      </c>
      <c r="C120" s="526" t="str">
        <f>IF(VLOOKUP($A120,Vorgaben!$A$19:$H$54,3,FALSE)="","",(VLOOKUP($A120,Vorgaben!$A$19:$H$54,3,FALSE)&amp;$B$17&amp;VLOOKUP($A120,Vorgaben!$A$19:$H$54,4,FALSE)&amp;$B$17&amp;TEXT(VLOOKUP($A120,Vorgaben!$A$19:$H$54,5,FALSE),"TT.MM.JJJJ")&amp;$B$17&amp;$B120&amp;$B$17&amp;LEFT(VLOOKUP($A120,Mathematik!$A$19:$Z$54,26,FALSE),1)&amp;$B$17&amp;LEFT(VLOOKUP($A120,Mathematik!$A$19:$Z$54,6,FALSE),1)&amp;$B$17&amp;LEFT(VLOOKUP($A120,Mathematik!$A$19:$Z$54,8,FALSE),1)&amp;$B$17&amp;LEFT(VLOOKUP($A120,Mathematik!$A$19:$Z$54,16,FALSE),1)))</f>
        <v>NN 34;VN 34;GD 34;M;;;;</v>
      </c>
      <c r="D120" s="528"/>
      <c r="E120" s="154"/>
    </row>
    <row r="121" spans="1:5" s="13" customFormat="1" ht="15.95" customHeight="1" x14ac:dyDescent="0.2">
      <c r="A121" s="167">
        <v>35</v>
      </c>
      <c r="B121" s="525" t="s">
        <v>276</v>
      </c>
      <c r="C121" s="526" t="str">
        <f>IF(VLOOKUP($A121,Vorgaben!$A$19:$H$54,3,FALSE)="","",(VLOOKUP($A121,Vorgaben!$A$19:$H$54,3,FALSE)&amp;$B$17&amp;VLOOKUP($A121,Vorgaben!$A$19:$H$54,4,FALSE)&amp;$B$17&amp;TEXT(VLOOKUP($A121,Vorgaben!$A$19:$H$54,5,FALSE),"TT.MM.JJJJ")&amp;$B$17&amp;$B121&amp;$B$17&amp;LEFT(VLOOKUP($A121,Deutsch!$A$19:$Z$54,26,FALSE),1)&amp;$B$17&amp;LEFT(VLOOKUP($A121,Deutsch!$A$19:$Z$54,6,FALSE),1)&amp;$B$17&amp;LEFT(VLOOKUP($A121,Deutsch!$A$19:$Z$54,8,FALSE),1)&amp;$B$17&amp;LEFT(VLOOKUP($A121,Deutsch!$A$19:$Z$54,16,FALSE),1)))</f>
        <v>NN 35;VN 35;GD 35;D;;;;</v>
      </c>
      <c r="D121" s="528"/>
      <c r="E121" s="154"/>
    </row>
    <row r="122" spans="1:5" s="13" customFormat="1" ht="15.95" customHeight="1" x14ac:dyDescent="0.2">
      <c r="A122" s="167">
        <v>35</v>
      </c>
      <c r="B122" s="525" t="str">
        <f>VLOOKUP($A122,Vorgaben!$A$19:$H$54,8,FALSE)</f>
        <v>E5</v>
      </c>
      <c r="C122" s="526" t="str">
        <f>IF(VLOOKUP($A122,Vorgaben!$A$19:$H$54,3,FALSE)="","",(VLOOKUP($A122,Vorgaben!$A$19:$H$54,3,FALSE)&amp;$B$17&amp;VLOOKUP($A122,Vorgaben!$A$19:$H$54,4,FALSE)&amp;$B$17&amp;TEXT(VLOOKUP($A122,Vorgaben!$A$19:$H$54,5,FALSE),"TT.MM.JJJJ")&amp;$B$17&amp;$B122&amp;$B$17&amp;LEFT(VLOOKUP($A122,Fremdsprache!$A$19:$Z$54,26,FALSE),1)&amp;$B$17&amp;LEFT(VLOOKUP($A122,Fremdsprache!$A$19:$Z$54,6,FALSE),1)&amp;$B$17&amp;LEFT(VLOOKUP($A122,Fremdsprache!$A$19:$Z$54,8,FALSE),1)&amp;$B$17&amp;LEFT(VLOOKUP($A122,Fremdsprache!$A$19:$Z$54,16,FALSE),1)))</f>
        <v>NN 35;VN 35;GD 35;E5;;;;</v>
      </c>
      <c r="D122" s="528"/>
      <c r="E122" s="154"/>
    </row>
    <row r="123" spans="1:5" s="13" customFormat="1" ht="15.95" customHeight="1" x14ac:dyDescent="0.2">
      <c r="A123" s="167">
        <v>35</v>
      </c>
      <c r="B123" s="525" t="s">
        <v>277</v>
      </c>
      <c r="C123" s="526" t="str">
        <f>IF(VLOOKUP($A123,Vorgaben!$A$19:$H$54,3,FALSE)="","",(VLOOKUP($A123,Vorgaben!$A$19:$H$54,3,FALSE)&amp;$B$17&amp;VLOOKUP($A123,Vorgaben!$A$19:$H$54,4,FALSE)&amp;$B$17&amp;TEXT(VLOOKUP($A123,Vorgaben!$A$19:$H$54,5,FALSE),"TT.MM.JJJJ")&amp;$B$17&amp;$B123&amp;$B$17&amp;LEFT(VLOOKUP($A123,Mathematik!$A$19:$Z$54,26,FALSE),1)&amp;$B$17&amp;LEFT(VLOOKUP($A123,Mathematik!$A$19:$Z$54,6,FALSE),1)&amp;$B$17&amp;LEFT(VLOOKUP($A123,Mathematik!$A$19:$Z$54,8,FALSE),1)&amp;$B$17&amp;LEFT(VLOOKUP($A123,Mathematik!$A$19:$Z$54,16,FALSE),1)))</f>
        <v>NN 35;VN 35;GD 35;M;;;;</v>
      </c>
      <c r="D123" s="528"/>
      <c r="E123" s="154"/>
    </row>
    <row r="124" spans="1:5" s="13" customFormat="1" ht="15.95" customHeight="1" x14ac:dyDescent="0.2">
      <c r="A124" s="167">
        <v>36</v>
      </c>
      <c r="B124" s="525" t="s">
        <v>276</v>
      </c>
      <c r="C124" s="526" t="str">
        <f>IF(VLOOKUP($A124,Vorgaben!$A$19:$H$54,3,FALSE)="","",(VLOOKUP($A124,Vorgaben!$A$19:$H$54,3,FALSE)&amp;$B$17&amp;VLOOKUP($A124,Vorgaben!$A$19:$H$54,4,FALSE)&amp;$B$17&amp;TEXT(VLOOKUP($A124,Vorgaben!$A$19:$H$54,5,FALSE),"TT.MM.JJJJ")&amp;$B$17&amp;$B124&amp;$B$17&amp;LEFT(VLOOKUP($A124,Deutsch!$A$19:$Z$54,26,FALSE),1)&amp;$B$17&amp;LEFT(VLOOKUP($A124,Deutsch!$A$19:$Z$54,6,FALSE),1)&amp;$B$17&amp;LEFT(VLOOKUP($A124,Deutsch!$A$19:$Z$54,8,FALSE),1)&amp;$B$17&amp;LEFT(VLOOKUP($A124,Deutsch!$A$19:$Z$54,16,FALSE),1)))</f>
        <v>NN 36;VN 36;GD 36;D;;;;</v>
      </c>
      <c r="D124" s="528"/>
      <c r="E124" s="154"/>
    </row>
    <row r="125" spans="1:5" s="13" customFormat="1" ht="15.95" customHeight="1" x14ac:dyDescent="0.2">
      <c r="A125" s="167">
        <v>36</v>
      </c>
      <c r="B125" s="525" t="str">
        <f>VLOOKUP($A125,Vorgaben!$A$19:$H$54,8,FALSE)</f>
        <v>E5</v>
      </c>
      <c r="C125" s="526" t="str">
        <f>IF(VLOOKUP($A125,Vorgaben!$A$19:$H$54,3,FALSE)="","",(VLOOKUP($A125,Vorgaben!$A$19:$H$54,3,FALSE)&amp;$B$17&amp;VLOOKUP($A125,Vorgaben!$A$19:$H$54,4,FALSE)&amp;$B$17&amp;TEXT(VLOOKUP($A125,Vorgaben!$A$19:$H$54,5,FALSE),"TT.MM.JJJJ")&amp;$B$17&amp;$B125&amp;$B$17&amp;LEFT(VLOOKUP($A125,Fremdsprache!$A$19:$Z$54,26,FALSE),1)&amp;$B$17&amp;LEFT(VLOOKUP($A125,Fremdsprache!$A$19:$Z$54,6,FALSE),1)&amp;$B$17&amp;LEFT(VLOOKUP($A125,Fremdsprache!$A$19:$Z$54,8,FALSE),1)&amp;$B$17&amp;LEFT(VLOOKUP($A125,Fremdsprache!$A$19:$Z$54,16,FALSE),1)))</f>
        <v>NN 36;VN 36;GD 36;E5;;;;</v>
      </c>
      <c r="D125" s="528"/>
      <c r="E125" s="154"/>
    </row>
    <row r="126" spans="1:5" s="13" customFormat="1" ht="15.95" customHeight="1" x14ac:dyDescent="0.2">
      <c r="A126" s="167">
        <v>36</v>
      </c>
      <c r="B126" s="525" t="s">
        <v>277</v>
      </c>
      <c r="C126" s="526" t="str">
        <f>IF(VLOOKUP($A126,Vorgaben!$A$19:$H$54,3,FALSE)="","",(VLOOKUP($A126,Vorgaben!$A$19:$H$54,3,FALSE)&amp;$B$17&amp;VLOOKUP($A126,Vorgaben!$A$19:$H$54,4,FALSE)&amp;$B$17&amp;TEXT(VLOOKUP($A126,Vorgaben!$A$19:$H$54,5,FALSE),"TT.MM.JJJJ")&amp;$B$17&amp;$B126&amp;$B$17&amp;LEFT(VLOOKUP($A126,Mathematik!$A$19:$Z$54,26,FALSE),1)&amp;$B$17&amp;LEFT(VLOOKUP($A126,Mathematik!$A$19:$Z$54,6,FALSE),1)&amp;$B$17&amp;LEFT(VLOOKUP($A126,Mathematik!$A$19:$Z$54,8,FALSE),1)&amp;$B$17&amp;LEFT(VLOOKUP($A126,Mathematik!$A$19:$Z$54,16,FALSE),1)))</f>
        <v>NN 36;VN 36;GD 36;M;;;;</v>
      </c>
      <c r="D126" s="528"/>
      <c r="E126" s="154"/>
    </row>
    <row r="127" spans="1:5" s="13" customFormat="1" ht="15.95" customHeight="1" x14ac:dyDescent="0.2">
      <c r="A127" s="167"/>
      <c r="B127" s="525"/>
      <c r="C127" s="526"/>
      <c r="D127" s="528"/>
      <c r="E127" s="154"/>
    </row>
    <row r="128" spans="1:5" s="13" customFormat="1" ht="15.95" customHeight="1" x14ac:dyDescent="0.2">
      <c r="A128" s="167"/>
      <c r="B128" s="525"/>
      <c r="C128" s="526"/>
      <c r="D128" s="528"/>
      <c r="E128" s="154"/>
    </row>
    <row r="129" spans="1:5" s="13" customFormat="1" ht="15.95" customHeight="1" x14ac:dyDescent="0.2">
      <c r="A129" s="167"/>
      <c r="B129" s="525"/>
      <c r="C129" s="526"/>
      <c r="D129" s="528"/>
      <c r="E129" s="154"/>
    </row>
    <row r="130" spans="1:5" s="13" customFormat="1" ht="15.95" customHeight="1" x14ac:dyDescent="0.2">
      <c r="C130" s="104"/>
      <c r="D130" s="104"/>
    </row>
    <row r="131" spans="1:5" s="13" customFormat="1" ht="15.95" customHeight="1" x14ac:dyDescent="0.2">
      <c r="C131" s="104"/>
      <c r="D131" s="104"/>
    </row>
    <row r="132" spans="1:5" s="13" customFormat="1" ht="15.95" customHeight="1" x14ac:dyDescent="0.2">
      <c r="C132" s="104"/>
      <c r="D132" s="104"/>
    </row>
    <row r="133" spans="1:5" s="13" customFormat="1" ht="15.95" customHeight="1" x14ac:dyDescent="0.2">
      <c r="C133" s="104"/>
      <c r="D133" s="104"/>
    </row>
    <row r="134" spans="1:5" s="13" customFormat="1" ht="15.95" customHeight="1" x14ac:dyDescent="0.2">
      <c r="C134" s="104"/>
      <c r="D134" s="104"/>
    </row>
    <row r="135" spans="1:5" s="13" customFormat="1" ht="15.95" customHeight="1" x14ac:dyDescent="0.2">
      <c r="C135" s="104"/>
      <c r="D135" s="104"/>
    </row>
    <row r="136" spans="1:5" s="13" customFormat="1" ht="15.95" customHeight="1" x14ac:dyDescent="0.2">
      <c r="C136" s="104"/>
      <c r="D136" s="104"/>
    </row>
    <row r="137" spans="1:5" s="13" customFormat="1" ht="15.95" customHeight="1" x14ac:dyDescent="0.2">
      <c r="C137" s="104"/>
      <c r="D137" s="104"/>
    </row>
    <row r="138" spans="1:5" s="13" customFormat="1" ht="15.95" customHeight="1" x14ac:dyDescent="0.2">
      <c r="C138" s="104"/>
      <c r="D138" s="104"/>
    </row>
    <row r="139" spans="1:5" s="13" customFormat="1" ht="15.95" customHeight="1" x14ac:dyDescent="0.2">
      <c r="C139" s="104"/>
      <c r="D139" s="104"/>
    </row>
    <row r="140" spans="1:5" s="13" customFormat="1" ht="15.95" customHeight="1" x14ac:dyDescent="0.2">
      <c r="C140" s="104"/>
      <c r="D140" s="104"/>
    </row>
    <row r="141" spans="1:5" ht="15.95" customHeight="1" x14ac:dyDescent="0.2">
      <c r="C141" s="104"/>
      <c r="D141" s="104"/>
    </row>
    <row r="142" spans="1:5" ht="15.95" customHeight="1" x14ac:dyDescent="0.2">
      <c r="C142" s="105"/>
      <c r="D142" s="105"/>
    </row>
    <row r="143" spans="1:5" ht="15.95" customHeight="1" x14ac:dyDescent="0.2">
      <c r="C143" s="105"/>
      <c r="D143" s="105"/>
    </row>
    <row r="144" spans="1:5" ht="15.95" customHeight="1" x14ac:dyDescent="0.2">
      <c r="C144" s="105"/>
      <c r="D144" s="105"/>
    </row>
    <row r="145" spans="3:4" ht="15.95" customHeight="1" x14ac:dyDescent="0.2">
      <c r="C145" s="105"/>
      <c r="D145" s="105"/>
    </row>
    <row r="146" spans="3:4" ht="15.95" customHeight="1" x14ac:dyDescent="0.2">
      <c r="C146" s="105"/>
      <c r="D146" s="105"/>
    </row>
    <row r="147" spans="3:4" ht="15.95" customHeight="1" x14ac:dyDescent="0.2">
      <c r="C147" s="105"/>
      <c r="D147" s="105"/>
    </row>
    <row r="148" spans="3:4" ht="15.95" customHeight="1" x14ac:dyDescent="0.2">
      <c r="C148" s="105"/>
      <c r="D148" s="105"/>
    </row>
    <row r="149" spans="3:4" ht="15.95" customHeight="1" x14ac:dyDescent="0.2">
      <c r="C149" s="105"/>
      <c r="D149" s="105"/>
    </row>
    <row r="150" spans="3:4" ht="15.95" customHeight="1" x14ac:dyDescent="0.2">
      <c r="C150" s="105"/>
      <c r="D150" s="105"/>
    </row>
    <row r="151" spans="3:4" ht="15.95" customHeight="1" x14ac:dyDescent="0.2">
      <c r="C151" s="105"/>
      <c r="D151" s="105"/>
    </row>
    <row r="152" spans="3:4" ht="15.95" customHeight="1" x14ac:dyDescent="0.2">
      <c r="C152" s="105"/>
      <c r="D152" s="105"/>
    </row>
    <row r="153" spans="3:4" ht="15.95" customHeight="1" x14ac:dyDescent="0.2">
      <c r="C153" s="105"/>
      <c r="D153" s="105"/>
    </row>
    <row r="154" spans="3:4" ht="15.95" customHeight="1" x14ac:dyDescent="0.2">
      <c r="C154" s="105"/>
      <c r="D154" s="105"/>
    </row>
    <row r="155" spans="3:4" ht="15.95" customHeight="1" x14ac:dyDescent="0.2">
      <c r="C155" s="105"/>
      <c r="D155" s="105"/>
    </row>
    <row r="156" spans="3:4" ht="15.95" customHeight="1" x14ac:dyDescent="0.2">
      <c r="C156" s="105"/>
      <c r="D156" s="105"/>
    </row>
    <row r="157" spans="3:4" ht="15.95" customHeight="1" x14ac:dyDescent="0.2">
      <c r="C157" s="105"/>
      <c r="D157" s="105"/>
    </row>
    <row r="158" spans="3:4" ht="15.95" customHeight="1" x14ac:dyDescent="0.2">
      <c r="C158" s="105"/>
      <c r="D158" s="105"/>
    </row>
    <row r="159" spans="3:4" ht="15.95" customHeight="1" x14ac:dyDescent="0.2">
      <c r="C159" s="105"/>
      <c r="D159" s="105"/>
    </row>
    <row r="160" spans="3:4" ht="15.95" customHeight="1" x14ac:dyDescent="0.2">
      <c r="C160" s="105"/>
      <c r="D160" s="105"/>
    </row>
    <row r="161" spans="3:4" ht="15.95" customHeight="1" x14ac:dyDescent="0.2">
      <c r="C161" s="105"/>
      <c r="D161" s="105"/>
    </row>
    <row r="162" spans="3:4" ht="15.95" customHeight="1" x14ac:dyDescent="0.2">
      <c r="C162" s="105"/>
      <c r="D162" s="105"/>
    </row>
    <row r="163" spans="3:4" ht="15.95" customHeight="1" x14ac:dyDescent="0.2">
      <c r="C163" s="105"/>
      <c r="D163" s="105"/>
    </row>
    <row r="164" spans="3:4" ht="15.95" customHeight="1" x14ac:dyDescent="0.2">
      <c r="C164" s="105"/>
      <c r="D164" s="105"/>
    </row>
    <row r="165" spans="3:4" ht="15.95" customHeight="1" x14ac:dyDescent="0.2">
      <c r="C165" s="105"/>
      <c r="D165" s="105"/>
    </row>
    <row r="166" spans="3:4" ht="15.95" customHeight="1" x14ac:dyDescent="0.2">
      <c r="C166" s="105"/>
      <c r="D166" s="105"/>
    </row>
    <row r="167" spans="3:4" ht="15.95" customHeight="1" x14ac:dyDescent="0.2">
      <c r="C167" s="105"/>
      <c r="D167" s="105"/>
    </row>
    <row r="168" spans="3:4" ht="15.95" customHeight="1" x14ac:dyDescent="0.2">
      <c r="C168" s="105"/>
      <c r="D168" s="105"/>
    </row>
    <row r="169" spans="3:4" x14ac:dyDescent="0.2">
      <c r="C169" s="105"/>
      <c r="D169" s="105"/>
    </row>
    <row r="170" spans="3:4" x14ac:dyDescent="0.2">
      <c r="C170" s="105"/>
      <c r="D170" s="105"/>
    </row>
    <row r="171" spans="3:4" x14ac:dyDescent="0.2">
      <c r="C171" s="105"/>
      <c r="D171" s="105"/>
    </row>
    <row r="172" spans="3:4" x14ac:dyDescent="0.2">
      <c r="C172" s="105"/>
      <c r="D172" s="105"/>
    </row>
    <row r="173" spans="3:4" x14ac:dyDescent="0.2">
      <c r="C173" s="105"/>
      <c r="D173" s="105"/>
    </row>
    <row r="174" spans="3:4" x14ac:dyDescent="0.2">
      <c r="C174" s="105"/>
      <c r="D174" s="105"/>
    </row>
    <row r="175" spans="3:4" x14ac:dyDescent="0.2">
      <c r="C175" s="105"/>
      <c r="D175" s="105"/>
    </row>
    <row r="176" spans="3:4" x14ac:dyDescent="0.2">
      <c r="C176" s="105"/>
      <c r="D176" s="105"/>
    </row>
    <row r="177" spans="3:4" x14ac:dyDescent="0.2">
      <c r="C177" s="105"/>
      <c r="D177" s="105"/>
    </row>
    <row r="178" spans="3:4" x14ac:dyDescent="0.2">
      <c r="C178" s="105"/>
      <c r="D178" s="105"/>
    </row>
    <row r="179" spans="3:4" x14ac:dyDescent="0.2">
      <c r="C179" s="105"/>
      <c r="D179" s="105"/>
    </row>
  </sheetData>
  <sheetProtection sheet="1"/>
  <phoneticPr fontId="10" type="noConversion"/>
  <conditionalFormatting sqref="C19:C128">
    <cfRule type="cellIs" dxfId="91" priority="1" stopIfTrue="1" operator="notEqual">
      <formula>""</formula>
    </cfRule>
  </conditionalFormatting>
  <printOptions gridLinesSet="0"/>
  <pageMargins left="0.59055118110236227" right="0" top="0.59055118110236227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autoPageBreaks="0"/>
  </sheetPr>
  <dimension ref="A1:DQ154"/>
  <sheetViews>
    <sheetView showGridLines="0" workbookViewId="0">
      <selection activeCell="F21" sqref="F21"/>
    </sheetView>
  </sheetViews>
  <sheetFormatPr baseColWidth="10" defaultColWidth="10.7109375" defaultRowHeight="12.75" x14ac:dyDescent="0.2"/>
  <cols>
    <col min="1" max="1" width="3.7109375" style="9" customWidth="1"/>
    <col min="2" max="2" width="1.7109375" style="9" customWidth="1"/>
    <col min="3" max="3" width="14.5703125" style="9" customWidth="1"/>
    <col min="4" max="4" width="16.140625" style="9" customWidth="1"/>
    <col min="5" max="5" width="2.7109375" style="9" customWidth="1"/>
    <col min="6" max="6" width="4.7109375" style="9" customWidth="1"/>
    <col min="7" max="7" width="2.7109375" style="9" customWidth="1"/>
    <col min="8" max="8" width="4.7109375" style="9" customWidth="1"/>
    <col min="9" max="9" width="1.7109375" style="9" customWidth="1"/>
    <col min="10" max="10" width="3.7109375" style="9" customWidth="1"/>
    <col min="11" max="11" width="1.7109375" style="9" customWidth="1"/>
    <col min="12" max="12" width="5.7109375" style="9" customWidth="1"/>
    <col min="13" max="13" width="1.7109375" style="9" customWidth="1"/>
    <col min="14" max="14" width="4.7109375" style="9" customWidth="1"/>
    <col min="15" max="15" width="1.7109375" style="9" customWidth="1"/>
    <col min="16" max="16" width="3.7109375" style="9" customWidth="1"/>
    <col min="17" max="17" width="1.7109375" style="9" customWidth="1"/>
    <col min="18" max="18" width="3.7109375" style="9" customWidth="1"/>
    <col min="19" max="19" width="1.7109375" style="9" customWidth="1"/>
    <col min="20" max="20" width="3.7109375" style="9" customWidth="1"/>
    <col min="21" max="21" width="1.7109375" style="9" customWidth="1"/>
    <col min="22" max="22" width="3.7109375" style="9" customWidth="1"/>
    <col min="23" max="23" width="1.7109375" style="9" customWidth="1"/>
    <col min="24" max="24" width="3.7109375" style="9" customWidth="1"/>
    <col min="25" max="25" width="1.7109375" style="9" customWidth="1"/>
    <col min="26" max="27" width="3.7109375" style="9" customWidth="1"/>
    <col min="28" max="28" width="10.7109375" style="9"/>
    <col min="29" max="29" width="5.42578125" style="9" customWidth="1"/>
    <col min="30" max="30" width="14.5703125" style="9" customWidth="1"/>
    <col min="31" max="16384" width="10.7109375" style="9"/>
  </cols>
  <sheetData>
    <row r="1" spans="1:121" ht="15" x14ac:dyDescent="0.25">
      <c r="A1" s="73"/>
      <c r="B1" s="73"/>
      <c r="C1" s="224" t="s">
        <v>254</v>
      </c>
      <c r="D1" s="225" t="s">
        <v>406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1"/>
      <c r="X1" s="141"/>
      <c r="Y1" s="141"/>
      <c r="Z1" s="141"/>
      <c r="AA1" s="141"/>
      <c r="AB1" s="141"/>
      <c r="AC1" s="141"/>
      <c r="AD1" s="141"/>
      <c r="AE1" s="141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</row>
    <row r="2" spans="1:121" x14ac:dyDescent="0.2">
      <c r="A2" s="74"/>
      <c r="B2" s="73"/>
      <c r="C2" s="226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1"/>
      <c r="X2" s="141"/>
      <c r="Y2" s="141"/>
      <c r="Z2" s="141"/>
      <c r="AA2" s="141"/>
      <c r="AB2" s="141"/>
      <c r="AC2" s="141"/>
      <c r="AD2" s="141"/>
      <c r="AE2" s="141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</row>
    <row r="3" spans="1:121" x14ac:dyDescent="0.2">
      <c r="A3" s="74"/>
      <c r="B3" s="73"/>
      <c r="C3" s="134" t="s">
        <v>131</v>
      </c>
      <c r="D3" s="148"/>
      <c r="E3" s="227" t="s">
        <v>278</v>
      </c>
      <c r="F3" s="227"/>
      <c r="G3" s="227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1"/>
      <c r="X3" s="141"/>
      <c r="Y3" s="141"/>
      <c r="Z3" s="141"/>
      <c r="AA3" s="141"/>
      <c r="AB3" s="141"/>
      <c r="AC3" s="141"/>
      <c r="AD3" s="228"/>
      <c r="AE3" s="141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</row>
    <row r="4" spans="1:121" x14ac:dyDescent="0.2">
      <c r="A4" s="8"/>
      <c r="B4" s="8"/>
      <c r="C4" s="141"/>
      <c r="D4" s="148"/>
      <c r="E4" s="227" t="str">
        <f>IF(Vorgaben!$I$8="","","  ( "&amp;Vorgaben!$I$8&amp;" )")</f>
        <v xml:space="preserve">  ( N D )</v>
      </c>
      <c r="F4" s="227"/>
      <c r="G4" s="227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1"/>
      <c r="X4" s="141"/>
      <c r="Y4" s="141"/>
      <c r="Z4" s="141"/>
      <c r="AA4" s="141"/>
      <c r="AB4" s="141"/>
      <c r="AC4" s="141"/>
      <c r="AD4" s="228"/>
      <c r="AE4" s="141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</row>
    <row r="5" spans="1:121" x14ac:dyDescent="0.2">
      <c r="A5" s="8"/>
      <c r="B5" s="8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228"/>
      <c r="AE5" s="141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</row>
    <row r="6" spans="1:121" x14ac:dyDescent="0.2">
      <c r="A6" s="8"/>
      <c r="B6" s="8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228"/>
      <c r="AE6" s="141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</row>
    <row r="7" spans="1:121" x14ac:dyDescent="0.2">
      <c r="A7" s="8"/>
      <c r="B7" s="8"/>
      <c r="C7" s="134" t="s">
        <v>213</v>
      </c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141"/>
      <c r="Z7" s="141"/>
      <c r="AA7" s="141"/>
      <c r="AB7" s="141"/>
      <c r="AC7" s="141"/>
      <c r="AD7" s="228"/>
      <c r="AE7" s="141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</row>
    <row r="8" spans="1:121" x14ac:dyDescent="0.2">
      <c r="A8" s="8"/>
      <c r="B8" s="8"/>
      <c r="C8" s="134" t="s">
        <v>214</v>
      </c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141"/>
      <c r="Z8" s="141"/>
      <c r="AA8" s="141"/>
      <c r="AB8" s="141"/>
      <c r="AC8" s="141"/>
      <c r="AD8" s="228"/>
      <c r="AE8" s="141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</row>
    <row r="9" spans="1:121" x14ac:dyDescent="0.2">
      <c r="A9" s="8"/>
      <c r="B9" s="8"/>
      <c r="C9" s="141" t="s">
        <v>212</v>
      </c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228"/>
      <c r="AE9" s="141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</row>
    <row r="10" spans="1:121" x14ac:dyDescent="0.2">
      <c r="A10" s="8"/>
      <c r="B10" s="8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229" t="s">
        <v>166</v>
      </c>
      <c r="AD10" s="230"/>
      <c r="AE10" s="231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</row>
    <row r="11" spans="1:121" x14ac:dyDescent="0.2">
      <c r="A11" s="8"/>
      <c r="B11" s="8"/>
      <c r="C11" s="141" t="s">
        <v>348</v>
      </c>
      <c r="D11" s="232"/>
      <c r="E11" s="148"/>
      <c r="F11" s="148"/>
      <c r="G11" s="148"/>
      <c r="H11" s="232"/>
      <c r="I11" s="232"/>
      <c r="J11" s="232"/>
      <c r="K11" s="232"/>
      <c r="L11" s="232"/>
      <c r="M11" s="232"/>
      <c r="N11" s="232"/>
      <c r="O11" s="232"/>
      <c r="P11" s="232"/>
      <c r="Q11" s="148"/>
      <c r="R11" s="148"/>
      <c r="S11" s="148"/>
      <c r="T11" s="148"/>
      <c r="U11" s="148"/>
      <c r="V11" s="148"/>
      <c r="W11" s="148"/>
      <c r="X11" s="141"/>
      <c r="Y11" s="141"/>
      <c r="Z11" s="141"/>
      <c r="AA11" s="141"/>
      <c r="AB11" s="141"/>
      <c r="AC11" s="231" t="s">
        <v>122</v>
      </c>
      <c r="AD11" s="230"/>
      <c r="AE11" s="231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</row>
    <row r="12" spans="1:121" x14ac:dyDescent="0.2">
      <c r="A12" s="8"/>
      <c r="B12" s="8"/>
      <c r="C12" s="148"/>
      <c r="D12" s="148"/>
      <c r="E12" s="148"/>
      <c r="F12" s="148"/>
      <c r="G12" s="148"/>
      <c r="H12" s="148"/>
      <c r="I12" s="148"/>
      <c r="J12" s="148"/>
      <c r="K12" s="148"/>
      <c r="L12" s="233" t="s">
        <v>349</v>
      </c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4"/>
      <c r="Y12" s="234"/>
      <c r="Z12" s="234"/>
      <c r="AA12" s="141"/>
      <c r="AB12" s="141"/>
      <c r="AC12" s="176" t="s">
        <v>123</v>
      </c>
      <c r="AD12" s="230"/>
      <c r="AE12" s="231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</row>
    <row r="13" spans="1:121" x14ac:dyDescent="0.2">
      <c r="A13" s="8"/>
      <c r="B13" s="8"/>
      <c r="C13" s="148"/>
      <c r="D13" s="148"/>
      <c r="E13" s="148"/>
      <c r="F13" s="148" t="s">
        <v>165</v>
      </c>
      <c r="G13" s="148"/>
      <c r="H13" s="148"/>
      <c r="I13" s="148"/>
      <c r="J13" s="148"/>
      <c r="K13" s="148"/>
      <c r="L13" s="148"/>
      <c r="M13" s="148" t="s">
        <v>350</v>
      </c>
      <c r="N13" s="140"/>
      <c r="O13" s="148"/>
      <c r="P13" s="148"/>
      <c r="Q13" s="148"/>
      <c r="R13" s="148"/>
      <c r="S13" s="148"/>
      <c r="T13" s="148"/>
      <c r="U13" s="148"/>
      <c r="V13" s="148"/>
      <c r="W13" s="148"/>
      <c r="X13" s="141"/>
      <c r="Y13" s="141"/>
      <c r="Z13" s="141"/>
      <c r="AA13" s="141"/>
      <c r="AB13" s="141"/>
      <c r="AC13" s="176" t="s">
        <v>347</v>
      </c>
      <c r="AD13" s="230"/>
      <c r="AE13" s="231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</row>
    <row r="14" spans="1:121" ht="12.75" customHeight="1" x14ac:dyDescent="0.2">
      <c r="A14" s="8"/>
      <c r="B14" s="8"/>
      <c r="C14" s="148"/>
      <c r="D14" s="148"/>
      <c r="E14" s="141"/>
      <c r="F14" s="560" t="s">
        <v>90</v>
      </c>
      <c r="G14" s="141"/>
      <c r="H14" s="560" t="s">
        <v>90</v>
      </c>
      <c r="I14" s="141"/>
      <c r="J14" s="141"/>
      <c r="K14" s="141"/>
      <c r="L14" s="141"/>
      <c r="M14" s="141"/>
      <c r="N14" s="562" t="s">
        <v>90</v>
      </c>
      <c r="O14" s="141"/>
      <c r="P14" s="564" t="s">
        <v>90</v>
      </c>
      <c r="Q14" s="141"/>
      <c r="R14" s="148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555" t="s">
        <v>90</v>
      </c>
      <c r="AD14" s="228"/>
      <c r="AE14" s="141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</row>
    <row r="15" spans="1:121" x14ac:dyDescent="0.2">
      <c r="A15" s="8"/>
      <c r="B15" s="8"/>
      <c r="C15" s="148"/>
      <c r="D15" s="148"/>
      <c r="E15" s="141"/>
      <c r="F15" s="561"/>
      <c r="G15" s="141"/>
      <c r="H15" s="561"/>
      <c r="I15" s="141"/>
      <c r="J15" s="141"/>
      <c r="K15" s="141"/>
      <c r="L15" s="141"/>
      <c r="M15" s="141"/>
      <c r="N15" s="563"/>
      <c r="O15" s="141"/>
      <c r="P15" s="565"/>
      <c r="Q15" s="141"/>
      <c r="R15" s="148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556"/>
      <c r="AD15" s="228"/>
      <c r="AE15" s="141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</row>
    <row r="16" spans="1:121" s="13" customFormat="1" ht="20.100000000000001" customHeight="1" thickBot="1" x14ac:dyDescent="0.25">
      <c r="A16" s="10"/>
      <c r="B16" s="11"/>
      <c r="C16" s="235" t="str">
        <f>Vorgaben!$G$5</f>
        <v>10a  (20/)</v>
      </c>
      <c r="D16" s="235"/>
      <c r="E16" s="236" t="str">
        <f>"Zentrale Prüfung 10 in "&amp;$C$3&amp;$E$4</f>
        <v>Zentrale Prüfung 10 in Deutsch  ( N D )</v>
      </c>
      <c r="F16" s="237"/>
      <c r="G16" s="235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8"/>
      <c r="AA16" s="238"/>
      <c r="AB16" s="238"/>
      <c r="AC16" s="239"/>
      <c r="AD16" s="240"/>
      <c r="AE16" s="154"/>
    </row>
    <row r="17" spans="1:31" s="13" customFormat="1" ht="18" customHeight="1" thickTop="1" x14ac:dyDescent="0.2">
      <c r="A17" s="160"/>
      <c r="B17" s="161"/>
      <c r="C17" s="162">
        <f ca="1">NOW()</f>
        <v>43536.408713773148</v>
      </c>
      <c r="D17" s="162"/>
      <c r="E17" s="241" t="s">
        <v>49</v>
      </c>
      <c r="F17" s="242"/>
      <c r="G17" s="243" t="s">
        <v>87</v>
      </c>
      <c r="H17" s="244"/>
      <c r="I17" s="243" t="s">
        <v>11</v>
      </c>
      <c r="J17" s="243"/>
      <c r="K17" s="557" t="s">
        <v>58</v>
      </c>
      <c r="L17" s="558"/>
      <c r="M17" s="558"/>
      <c r="N17" s="558"/>
      <c r="O17" s="558"/>
      <c r="P17" s="559"/>
      <c r="Q17" s="245"/>
      <c r="R17" s="243"/>
      <c r="S17" s="246" t="s">
        <v>163</v>
      </c>
      <c r="T17" s="243"/>
      <c r="U17" s="243"/>
      <c r="V17" s="243"/>
      <c r="W17" s="243"/>
      <c r="X17" s="243"/>
      <c r="Y17" s="247"/>
      <c r="Z17" s="248" t="s">
        <v>126</v>
      </c>
      <c r="AA17" s="249"/>
      <c r="AB17" s="238"/>
      <c r="AC17" s="239"/>
      <c r="AD17" s="240"/>
      <c r="AE17" s="154"/>
    </row>
    <row r="18" spans="1:31" s="13" customFormat="1" ht="18" customHeight="1" thickBot="1" x14ac:dyDescent="0.25">
      <c r="A18" s="163"/>
      <c r="B18" s="164"/>
      <c r="C18" s="165" t="s">
        <v>56</v>
      </c>
      <c r="D18" s="166" t="s">
        <v>57</v>
      </c>
      <c r="E18" s="250" t="s">
        <v>50</v>
      </c>
      <c r="F18" s="251"/>
      <c r="G18" s="252" t="s">
        <v>88</v>
      </c>
      <c r="H18" s="253"/>
      <c r="I18" s="252" t="s">
        <v>128</v>
      </c>
      <c r="J18" s="254"/>
      <c r="K18" s="255"/>
      <c r="L18" s="256" t="s">
        <v>51</v>
      </c>
      <c r="M18" s="257" t="s">
        <v>52</v>
      </c>
      <c r="N18" s="252"/>
      <c r="O18" s="257" t="s">
        <v>53</v>
      </c>
      <c r="P18" s="252"/>
      <c r="Q18" s="258" t="s">
        <v>164</v>
      </c>
      <c r="R18" s="254"/>
      <c r="S18" s="259"/>
      <c r="T18" s="260">
        <v>0</v>
      </c>
      <c r="U18" s="261"/>
      <c r="V18" s="260">
        <v>1</v>
      </c>
      <c r="W18" s="261"/>
      <c r="X18" s="260">
        <v>2</v>
      </c>
      <c r="Y18" s="262" t="s">
        <v>50</v>
      </c>
      <c r="Z18" s="263"/>
      <c r="AA18" s="249"/>
      <c r="AB18" s="238"/>
      <c r="AC18" s="239"/>
      <c r="AD18" s="240"/>
      <c r="AE18" s="154"/>
    </row>
    <row r="19" spans="1:31" s="13" customFormat="1" ht="20.100000000000001" customHeight="1" thickTop="1" x14ac:dyDescent="0.2">
      <c r="A19" s="167">
        <f>IF($C19&lt;&gt;"",1,"")</f>
        <v>1</v>
      </c>
      <c r="B19" s="168"/>
      <c r="C19" s="169" t="str">
        <f>IF(Vorgaben!C19&lt;&gt;"",Vorgaben!C19,"")</f>
        <v>NN 1</v>
      </c>
      <c r="D19" s="169" t="str">
        <f>IF(Vorgaben!D19&lt;&gt;"",Vorgaben!D19,"")</f>
        <v>VN 1</v>
      </c>
      <c r="E19" s="75"/>
      <c r="F19" s="44"/>
      <c r="G19" s="46"/>
      <c r="H19" s="44"/>
      <c r="I19" s="181"/>
      <c r="J19" s="182">
        <f t="shared" ref="J19:J54" si="0">IF($C19&lt;&gt;"",IF(AND(F19&lt;&gt;"",H19&lt;&gt;""),ABS(F19-H19),0),"")</f>
        <v>0</v>
      </c>
      <c r="K19" s="183"/>
      <c r="L19" s="184" t="str">
        <f>IF($C19&lt;&gt;"",IF(J19&lt;2,"- -",IF(J19=2,"frw. ?","x")),"")</f>
        <v>- -</v>
      </c>
      <c r="M19" s="22"/>
      <c r="N19" s="128"/>
      <c r="O19" s="22"/>
      <c r="P19" s="51"/>
      <c r="Q19" s="23"/>
      <c r="R19" s="198" t="str">
        <f>IF($C19&lt;&gt;"",IF(OR(L19="x",N19="j"),IF(P19="","- -",(5*$F19+3*$H19+2*$P19)/10),"- -"),"")</f>
        <v>- -</v>
      </c>
      <c r="S19" s="199"/>
      <c r="T19" s="200">
        <f>IF($C19&lt;&gt;"",IF(J19=0,H19,"- -"),"")</f>
        <v>0</v>
      </c>
      <c r="U19" s="199"/>
      <c r="V19" s="201" t="str">
        <f>IF($C19&lt;&gt;"",IF(J19&lt;&gt;1,"- -",IF(AND($AC19&lt;&gt;"",$AD19=""),$AC19,"f")),"")</f>
        <v>- -</v>
      </c>
      <c r="W19" s="199"/>
      <c r="X19" s="202" t="str">
        <f>IF($C19&lt;&gt;"",IF(AND(J19=2,N19="n"),(F19+H19)/2,"- -"),"")</f>
        <v>- -</v>
      </c>
      <c r="Y19" s="203"/>
      <c r="Z19" s="204" t="str">
        <f t="shared" ref="Z19:Z45" si="1">IF($C19&lt;&gt;"",IF(OR(F19="",H19=""),"",IF(OR(R19="- -",R19=""),"",ROUND(R19-0.05,0))&amp;IF(T19="- -","",T19)&amp;IF(OR(V19="- -",V19="f"),"",V19)&amp;IF(X19="- -","",X19)),"")</f>
        <v/>
      </c>
      <c r="AA19" s="205" t="str">
        <f t="shared" ref="AA19:AA54" si="2">IF(Z19="","",VALUE(Z19))</f>
        <v/>
      </c>
      <c r="AB19" s="178"/>
      <c r="AC19" s="62"/>
      <c r="AD19" s="223" t="str">
        <f t="shared" ref="AD19:AD54" si="3">IF($C19&lt;&gt;"",IF(AND($J19=1,$AC19&lt;&gt;"",$AC19&lt;&gt;$F19,$AC19&lt;&gt;$H19),"falsche Zensur",IF(AND($J19=1,AC19=""),"fehlende Zensur","")),"")</f>
        <v/>
      </c>
    </row>
    <row r="20" spans="1:31" s="13" customFormat="1" ht="20.100000000000001" customHeight="1" x14ac:dyDescent="0.2">
      <c r="A20" s="167">
        <f>IF($C20&lt;&gt;"",A19+1,"")</f>
        <v>2</v>
      </c>
      <c r="B20" s="168"/>
      <c r="C20" s="170" t="str">
        <f>IF(Vorgaben!C20&lt;&gt;"",Vorgaben!C20,"")</f>
        <v>NN 2</v>
      </c>
      <c r="D20" s="170" t="str">
        <f>IF(Vorgaben!D20&lt;&gt;"",Vorgaben!D20,"")</f>
        <v>VN 2</v>
      </c>
      <c r="E20" s="76"/>
      <c r="F20" s="97"/>
      <c r="G20" s="98"/>
      <c r="H20" s="97"/>
      <c r="I20" s="185"/>
      <c r="J20" s="186">
        <f t="shared" si="0"/>
        <v>0</v>
      </c>
      <c r="K20" s="187"/>
      <c r="L20" s="188" t="str">
        <f>IF($C20&lt;&gt;"",IF(J20&lt;2,"- -",IF(J20=2,"frw. ?","x")),"")</f>
        <v>- -</v>
      </c>
      <c r="M20" s="54"/>
      <c r="N20" s="55"/>
      <c r="O20" s="54"/>
      <c r="P20" s="45"/>
      <c r="Q20" s="26"/>
      <c r="R20" s="206" t="str">
        <f t="shared" ref="R20:R45" si="4">IF($C20&lt;&gt;"",IF(OR(L20="x",N20="j"),IF(P20="","- -",(5*$F20+3*$H20+2*$P20)/10),"- -"),"")</f>
        <v>- -</v>
      </c>
      <c r="S20" s="207"/>
      <c r="T20" s="208">
        <f t="shared" ref="T20:T45" si="5">IF($C20&lt;&gt;"",IF(J20=0,H20,"- -"),"")</f>
        <v>0</v>
      </c>
      <c r="U20" s="207"/>
      <c r="V20" s="209" t="str">
        <f t="shared" ref="V20:V45" si="6">IF($C20&lt;&gt;"",IF(J20&lt;&gt;1,"- -",IF(AND($AC20&lt;&gt;"",$AD20=""),$AC20,"f")),"")</f>
        <v>- -</v>
      </c>
      <c r="W20" s="207"/>
      <c r="X20" s="209" t="str">
        <f t="shared" ref="X20:X45" si="7">IF($C20&lt;&gt;"",IF(AND(J20=2,N20="n"),(F20+H20)/2,"- -"),"")</f>
        <v>- -</v>
      </c>
      <c r="Y20" s="210"/>
      <c r="Z20" s="211" t="str">
        <f t="shared" si="1"/>
        <v/>
      </c>
      <c r="AA20" s="205" t="str">
        <f t="shared" si="2"/>
        <v/>
      </c>
      <c r="AB20" s="178"/>
      <c r="AC20" s="62"/>
      <c r="AD20" s="223" t="str">
        <f t="shared" si="3"/>
        <v/>
      </c>
    </row>
    <row r="21" spans="1:31" s="13" customFormat="1" ht="20.100000000000001" customHeight="1" x14ac:dyDescent="0.2">
      <c r="A21" s="167">
        <f t="shared" ref="A21:A54" si="8">IF($C21&lt;&gt;"",A20+1,"")</f>
        <v>3</v>
      </c>
      <c r="B21" s="168"/>
      <c r="C21" s="170" t="str">
        <f>IF(Vorgaben!C21&lt;&gt;"",Vorgaben!C21,"")</f>
        <v>NN 3</v>
      </c>
      <c r="D21" s="170" t="str">
        <f>IF(Vorgaben!D21&lt;&gt;"",Vorgaben!D21,"")</f>
        <v>VN 3</v>
      </c>
      <c r="E21" s="76"/>
      <c r="F21" s="97"/>
      <c r="G21" s="98"/>
      <c r="H21" s="97"/>
      <c r="I21" s="185"/>
      <c r="J21" s="186">
        <f t="shared" si="0"/>
        <v>0</v>
      </c>
      <c r="K21" s="187"/>
      <c r="L21" s="188" t="str">
        <f t="shared" ref="L21:L54" si="9">IF($C21&lt;&gt;"",IF(J21&lt;2,"- -",IF(J21=2,"frw. ?","x")),"")</f>
        <v>- -</v>
      </c>
      <c r="M21" s="54"/>
      <c r="N21" s="55"/>
      <c r="O21" s="54"/>
      <c r="P21" s="45"/>
      <c r="Q21" s="26"/>
      <c r="R21" s="206" t="str">
        <f t="shared" si="4"/>
        <v>- -</v>
      </c>
      <c r="S21" s="207"/>
      <c r="T21" s="208">
        <f t="shared" si="5"/>
        <v>0</v>
      </c>
      <c r="U21" s="207"/>
      <c r="V21" s="209" t="str">
        <f t="shared" si="6"/>
        <v>- -</v>
      </c>
      <c r="W21" s="207"/>
      <c r="X21" s="209" t="str">
        <f t="shared" si="7"/>
        <v>- -</v>
      </c>
      <c r="Y21" s="210"/>
      <c r="Z21" s="211" t="str">
        <f t="shared" si="1"/>
        <v/>
      </c>
      <c r="AA21" s="205" t="str">
        <f t="shared" si="2"/>
        <v/>
      </c>
      <c r="AB21" s="178"/>
      <c r="AC21" s="62"/>
      <c r="AD21" s="223" t="str">
        <f t="shared" si="3"/>
        <v/>
      </c>
    </row>
    <row r="22" spans="1:31" s="13" customFormat="1" ht="20.100000000000001" customHeight="1" x14ac:dyDescent="0.2">
      <c r="A22" s="167">
        <f t="shared" si="8"/>
        <v>4</v>
      </c>
      <c r="B22" s="168"/>
      <c r="C22" s="170" t="str">
        <f>IF(Vorgaben!C22&lt;&gt;"",Vorgaben!C22,"")</f>
        <v>NN 4</v>
      </c>
      <c r="D22" s="170" t="str">
        <f>IF(Vorgaben!D22&lt;&gt;"",Vorgaben!D22,"")</f>
        <v>VN 4</v>
      </c>
      <c r="E22" s="76"/>
      <c r="F22" s="97"/>
      <c r="G22" s="98"/>
      <c r="H22" s="97"/>
      <c r="I22" s="185"/>
      <c r="J22" s="186">
        <f t="shared" si="0"/>
        <v>0</v>
      </c>
      <c r="K22" s="187"/>
      <c r="L22" s="188" t="str">
        <f t="shared" si="9"/>
        <v>- -</v>
      </c>
      <c r="M22" s="54"/>
      <c r="N22" s="55"/>
      <c r="O22" s="54"/>
      <c r="P22" s="45"/>
      <c r="Q22" s="26"/>
      <c r="R22" s="206" t="str">
        <f t="shared" si="4"/>
        <v>- -</v>
      </c>
      <c r="S22" s="207"/>
      <c r="T22" s="208">
        <f t="shared" si="5"/>
        <v>0</v>
      </c>
      <c r="U22" s="207"/>
      <c r="V22" s="209" t="str">
        <f t="shared" si="6"/>
        <v>- -</v>
      </c>
      <c r="W22" s="207"/>
      <c r="X22" s="209" t="str">
        <f t="shared" si="7"/>
        <v>- -</v>
      </c>
      <c r="Y22" s="210"/>
      <c r="Z22" s="211" t="str">
        <f t="shared" si="1"/>
        <v/>
      </c>
      <c r="AA22" s="205" t="str">
        <f t="shared" si="2"/>
        <v/>
      </c>
      <c r="AB22" s="178"/>
      <c r="AC22" s="62"/>
      <c r="AD22" s="223" t="str">
        <f t="shared" si="3"/>
        <v/>
      </c>
    </row>
    <row r="23" spans="1:31" s="13" customFormat="1" ht="20.100000000000001" customHeight="1" x14ac:dyDescent="0.2">
      <c r="A23" s="167">
        <f t="shared" si="8"/>
        <v>5</v>
      </c>
      <c r="B23" s="168"/>
      <c r="C23" s="170" t="str">
        <f>IF(Vorgaben!C23&lt;&gt;"",Vorgaben!C23,"")</f>
        <v>NN 5</v>
      </c>
      <c r="D23" s="170" t="str">
        <f>IF(Vorgaben!D23&lt;&gt;"",Vorgaben!D23,"")</f>
        <v>VN 5</v>
      </c>
      <c r="E23" s="76"/>
      <c r="F23" s="97"/>
      <c r="G23" s="98"/>
      <c r="H23" s="97"/>
      <c r="I23" s="185"/>
      <c r="J23" s="186">
        <f t="shared" si="0"/>
        <v>0</v>
      </c>
      <c r="K23" s="187"/>
      <c r="L23" s="188" t="str">
        <f t="shared" si="9"/>
        <v>- -</v>
      </c>
      <c r="M23" s="54"/>
      <c r="N23" s="55"/>
      <c r="O23" s="54"/>
      <c r="P23" s="45"/>
      <c r="Q23" s="26"/>
      <c r="R23" s="206" t="str">
        <f t="shared" si="4"/>
        <v>- -</v>
      </c>
      <c r="S23" s="207"/>
      <c r="T23" s="208">
        <f t="shared" si="5"/>
        <v>0</v>
      </c>
      <c r="U23" s="207"/>
      <c r="V23" s="209" t="str">
        <f t="shared" si="6"/>
        <v>- -</v>
      </c>
      <c r="W23" s="207"/>
      <c r="X23" s="209" t="str">
        <f t="shared" si="7"/>
        <v>- -</v>
      </c>
      <c r="Y23" s="210"/>
      <c r="Z23" s="211" t="str">
        <f t="shared" si="1"/>
        <v/>
      </c>
      <c r="AA23" s="205" t="str">
        <f t="shared" si="2"/>
        <v/>
      </c>
      <c r="AB23" s="178"/>
      <c r="AC23" s="62"/>
      <c r="AD23" s="223" t="str">
        <f t="shared" si="3"/>
        <v/>
      </c>
    </row>
    <row r="24" spans="1:31" s="13" customFormat="1" ht="20.100000000000001" customHeight="1" x14ac:dyDescent="0.2">
      <c r="A24" s="167">
        <f t="shared" si="8"/>
        <v>6</v>
      </c>
      <c r="B24" s="168"/>
      <c r="C24" s="170" t="str">
        <f>IF(Vorgaben!C24&lt;&gt;"",Vorgaben!C24,"")</f>
        <v>NN 6</v>
      </c>
      <c r="D24" s="170" t="str">
        <f>IF(Vorgaben!D24&lt;&gt;"",Vorgaben!D24,"")</f>
        <v>VN 6</v>
      </c>
      <c r="E24" s="76"/>
      <c r="F24" s="97"/>
      <c r="G24" s="98"/>
      <c r="H24" s="97"/>
      <c r="I24" s="185"/>
      <c r="J24" s="186">
        <f t="shared" si="0"/>
        <v>0</v>
      </c>
      <c r="K24" s="187"/>
      <c r="L24" s="188" t="str">
        <f t="shared" si="9"/>
        <v>- -</v>
      </c>
      <c r="M24" s="54"/>
      <c r="N24" s="55"/>
      <c r="O24" s="54"/>
      <c r="P24" s="45"/>
      <c r="Q24" s="26"/>
      <c r="R24" s="206" t="str">
        <f t="shared" si="4"/>
        <v>- -</v>
      </c>
      <c r="S24" s="207"/>
      <c r="T24" s="208">
        <f t="shared" si="5"/>
        <v>0</v>
      </c>
      <c r="U24" s="207"/>
      <c r="V24" s="209" t="str">
        <f t="shared" si="6"/>
        <v>- -</v>
      </c>
      <c r="W24" s="207"/>
      <c r="X24" s="209" t="str">
        <f t="shared" si="7"/>
        <v>- -</v>
      </c>
      <c r="Y24" s="210"/>
      <c r="Z24" s="211" t="str">
        <f t="shared" si="1"/>
        <v/>
      </c>
      <c r="AA24" s="205" t="str">
        <f t="shared" si="2"/>
        <v/>
      </c>
      <c r="AB24" s="178"/>
      <c r="AC24" s="62"/>
      <c r="AD24" s="223" t="str">
        <f t="shared" si="3"/>
        <v/>
      </c>
    </row>
    <row r="25" spans="1:31" s="13" customFormat="1" ht="20.100000000000001" customHeight="1" x14ac:dyDescent="0.2">
      <c r="A25" s="167">
        <f t="shared" si="8"/>
        <v>7</v>
      </c>
      <c r="B25" s="168"/>
      <c r="C25" s="170" t="str">
        <f>IF(Vorgaben!C25&lt;&gt;"",Vorgaben!C25,"")</f>
        <v>NN 7</v>
      </c>
      <c r="D25" s="170" t="str">
        <f>IF(Vorgaben!D25&lt;&gt;"",Vorgaben!D25,"")</f>
        <v>VN 7</v>
      </c>
      <c r="E25" s="76"/>
      <c r="F25" s="97"/>
      <c r="G25" s="98"/>
      <c r="H25" s="97"/>
      <c r="I25" s="185"/>
      <c r="J25" s="186">
        <f t="shared" si="0"/>
        <v>0</v>
      </c>
      <c r="K25" s="187"/>
      <c r="L25" s="188" t="str">
        <f t="shared" si="9"/>
        <v>- -</v>
      </c>
      <c r="M25" s="54"/>
      <c r="N25" s="55"/>
      <c r="O25" s="54"/>
      <c r="P25" s="45"/>
      <c r="Q25" s="26"/>
      <c r="R25" s="206" t="str">
        <f t="shared" si="4"/>
        <v>- -</v>
      </c>
      <c r="S25" s="207"/>
      <c r="T25" s="208">
        <f t="shared" si="5"/>
        <v>0</v>
      </c>
      <c r="U25" s="207"/>
      <c r="V25" s="209" t="str">
        <f t="shared" si="6"/>
        <v>- -</v>
      </c>
      <c r="W25" s="207"/>
      <c r="X25" s="209" t="str">
        <f t="shared" si="7"/>
        <v>- -</v>
      </c>
      <c r="Y25" s="210"/>
      <c r="Z25" s="211" t="str">
        <f t="shared" si="1"/>
        <v/>
      </c>
      <c r="AA25" s="205" t="str">
        <f t="shared" si="2"/>
        <v/>
      </c>
      <c r="AB25" s="178"/>
      <c r="AC25" s="62"/>
      <c r="AD25" s="223" t="str">
        <f t="shared" si="3"/>
        <v/>
      </c>
    </row>
    <row r="26" spans="1:31" s="13" customFormat="1" ht="20.100000000000001" customHeight="1" x14ac:dyDescent="0.2">
      <c r="A26" s="167">
        <f t="shared" si="8"/>
        <v>8</v>
      </c>
      <c r="B26" s="168"/>
      <c r="C26" s="170" t="str">
        <f>IF(Vorgaben!C26&lt;&gt;"",Vorgaben!C26,"")</f>
        <v>NN 8</v>
      </c>
      <c r="D26" s="170" t="str">
        <f>IF(Vorgaben!D26&lt;&gt;"",Vorgaben!D26,"")</f>
        <v>VN 8</v>
      </c>
      <c r="E26" s="76"/>
      <c r="F26" s="97"/>
      <c r="G26" s="98"/>
      <c r="H26" s="97"/>
      <c r="I26" s="185"/>
      <c r="J26" s="186">
        <f t="shared" si="0"/>
        <v>0</v>
      </c>
      <c r="K26" s="187"/>
      <c r="L26" s="188" t="str">
        <f t="shared" si="9"/>
        <v>- -</v>
      </c>
      <c r="M26" s="54"/>
      <c r="N26" s="55"/>
      <c r="O26" s="54"/>
      <c r="P26" s="45"/>
      <c r="Q26" s="26"/>
      <c r="R26" s="206" t="str">
        <f t="shared" si="4"/>
        <v>- -</v>
      </c>
      <c r="S26" s="207"/>
      <c r="T26" s="208">
        <f t="shared" si="5"/>
        <v>0</v>
      </c>
      <c r="U26" s="207"/>
      <c r="V26" s="209" t="str">
        <f t="shared" si="6"/>
        <v>- -</v>
      </c>
      <c r="W26" s="207"/>
      <c r="X26" s="209" t="str">
        <f t="shared" si="7"/>
        <v>- -</v>
      </c>
      <c r="Y26" s="210"/>
      <c r="Z26" s="211" t="str">
        <f t="shared" si="1"/>
        <v/>
      </c>
      <c r="AA26" s="205" t="str">
        <f t="shared" si="2"/>
        <v/>
      </c>
      <c r="AB26" s="178"/>
      <c r="AC26" s="62"/>
      <c r="AD26" s="223" t="str">
        <f t="shared" si="3"/>
        <v/>
      </c>
    </row>
    <row r="27" spans="1:31" s="13" customFormat="1" ht="20.100000000000001" customHeight="1" x14ac:dyDescent="0.2">
      <c r="A27" s="167">
        <f t="shared" si="8"/>
        <v>9</v>
      </c>
      <c r="B27" s="168"/>
      <c r="C27" s="170" t="str">
        <f>IF(Vorgaben!C27&lt;&gt;"",Vorgaben!C27,"")</f>
        <v>NN 9</v>
      </c>
      <c r="D27" s="170" t="str">
        <f>IF(Vorgaben!D27&lt;&gt;"",Vorgaben!D27,"")</f>
        <v>VN 9</v>
      </c>
      <c r="E27" s="76"/>
      <c r="F27" s="97"/>
      <c r="G27" s="98"/>
      <c r="H27" s="97"/>
      <c r="I27" s="185"/>
      <c r="J27" s="186">
        <f t="shared" si="0"/>
        <v>0</v>
      </c>
      <c r="K27" s="187"/>
      <c r="L27" s="188" t="str">
        <f t="shared" si="9"/>
        <v>- -</v>
      </c>
      <c r="M27" s="54"/>
      <c r="N27" s="55"/>
      <c r="O27" s="54"/>
      <c r="P27" s="45"/>
      <c r="Q27" s="26"/>
      <c r="R27" s="206" t="str">
        <f t="shared" si="4"/>
        <v>- -</v>
      </c>
      <c r="S27" s="207"/>
      <c r="T27" s="208">
        <f t="shared" si="5"/>
        <v>0</v>
      </c>
      <c r="U27" s="207"/>
      <c r="V27" s="209" t="str">
        <f t="shared" si="6"/>
        <v>- -</v>
      </c>
      <c r="W27" s="207"/>
      <c r="X27" s="209" t="str">
        <f t="shared" si="7"/>
        <v>- -</v>
      </c>
      <c r="Y27" s="210"/>
      <c r="Z27" s="211" t="str">
        <f t="shared" si="1"/>
        <v/>
      </c>
      <c r="AA27" s="205" t="str">
        <f t="shared" si="2"/>
        <v/>
      </c>
      <c r="AB27" s="178"/>
      <c r="AC27" s="62"/>
      <c r="AD27" s="223" t="str">
        <f t="shared" si="3"/>
        <v/>
      </c>
    </row>
    <row r="28" spans="1:31" s="13" customFormat="1" ht="20.100000000000001" customHeight="1" x14ac:dyDescent="0.2">
      <c r="A28" s="167">
        <f t="shared" si="8"/>
        <v>10</v>
      </c>
      <c r="B28" s="168"/>
      <c r="C28" s="170" t="str">
        <f>IF(Vorgaben!C28&lt;&gt;"",Vorgaben!C28,"")</f>
        <v>NN 10</v>
      </c>
      <c r="D28" s="170" t="str">
        <f>IF(Vorgaben!D28&lt;&gt;"",Vorgaben!D28,"")</f>
        <v>VN 10</v>
      </c>
      <c r="E28" s="76"/>
      <c r="F28" s="97"/>
      <c r="G28" s="98"/>
      <c r="H28" s="97"/>
      <c r="I28" s="185"/>
      <c r="J28" s="186">
        <f t="shared" si="0"/>
        <v>0</v>
      </c>
      <c r="K28" s="187"/>
      <c r="L28" s="188" t="str">
        <f t="shared" si="9"/>
        <v>- -</v>
      </c>
      <c r="M28" s="54"/>
      <c r="N28" s="55"/>
      <c r="O28" s="54"/>
      <c r="P28" s="45"/>
      <c r="Q28" s="26"/>
      <c r="R28" s="206" t="str">
        <f t="shared" si="4"/>
        <v>- -</v>
      </c>
      <c r="S28" s="207"/>
      <c r="T28" s="208">
        <f t="shared" si="5"/>
        <v>0</v>
      </c>
      <c r="U28" s="207"/>
      <c r="V28" s="209" t="str">
        <f t="shared" si="6"/>
        <v>- -</v>
      </c>
      <c r="W28" s="207"/>
      <c r="X28" s="209" t="str">
        <f t="shared" si="7"/>
        <v>- -</v>
      </c>
      <c r="Y28" s="210"/>
      <c r="Z28" s="211" t="str">
        <f t="shared" si="1"/>
        <v/>
      </c>
      <c r="AA28" s="205" t="str">
        <f t="shared" si="2"/>
        <v/>
      </c>
      <c r="AB28" s="178"/>
      <c r="AC28" s="62"/>
      <c r="AD28" s="223" t="str">
        <f t="shared" si="3"/>
        <v/>
      </c>
    </row>
    <row r="29" spans="1:31" s="13" customFormat="1" ht="20.100000000000001" customHeight="1" x14ac:dyDescent="0.2">
      <c r="A29" s="167">
        <f t="shared" si="8"/>
        <v>11</v>
      </c>
      <c r="B29" s="168"/>
      <c r="C29" s="170" t="str">
        <f>IF(Vorgaben!C29&lt;&gt;"",Vorgaben!C29,"")</f>
        <v>NN 11</v>
      </c>
      <c r="D29" s="170" t="str">
        <f>IF(Vorgaben!D29&lt;&gt;"",Vorgaben!D29,"")</f>
        <v>VN 11</v>
      </c>
      <c r="E29" s="76"/>
      <c r="F29" s="97"/>
      <c r="G29" s="98"/>
      <c r="H29" s="97"/>
      <c r="I29" s="185"/>
      <c r="J29" s="186">
        <f t="shared" si="0"/>
        <v>0</v>
      </c>
      <c r="K29" s="187"/>
      <c r="L29" s="188" t="str">
        <f t="shared" si="9"/>
        <v>- -</v>
      </c>
      <c r="M29" s="54"/>
      <c r="N29" s="55"/>
      <c r="O29" s="54"/>
      <c r="P29" s="45"/>
      <c r="Q29" s="26"/>
      <c r="R29" s="206" t="str">
        <f t="shared" si="4"/>
        <v>- -</v>
      </c>
      <c r="S29" s="207"/>
      <c r="T29" s="208">
        <f t="shared" si="5"/>
        <v>0</v>
      </c>
      <c r="U29" s="207"/>
      <c r="V29" s="209" t="str">
        <f t="shared" si="6"/>
        <v>- -</v>
      </c>
      <c r="W29" s="207"/>
      <c r="X29" s="209" t="str">
        <f t="shared" si="7"/>
        <v>- -</v>
      </c>
      <c r="Y29" s="210"/>
      <c r="Z29" s="211" t="str">
        <f t="shared" si="1"/>
        <v/>
      </c>
      <c r="AA29" s="205" t="str">
        <f t="shared" si="2"/>
        <v/>
      </c>
      <c r="AB29" s="178"/>
      <c r="AC29" s="62"/>
      <c r="AD29" s="223" t="str">
        <f t="shared" si="3"/>
        <v/>
      </c>
    </row>
    <row r="30" spans="1:31" s="13" customFormat="1" ht="20.100000000000001" customHeight="1" x14ac:dyDescent="0.2">
      <c r="A30" s="167">
        <f t="shared" si="8"/>
        <v>12</v>
      </c>
      <c r="B30" s="168"/>
      <c r="C30" s="170" t="str">
        <f>IF(Vorgaben!C30&lt;&gt;"",Vorgaben!C30,"")</f>
        <v>NN 12</v>
      </c>
      <c r="D30" s="170" t="str">
        <f>IF(Vorgaben!D30&lt;&gt;"",Vorgaben!D30,"")</f>
        <v>VN 12</v>
      </c>
      <c r="E30" s="76"/>
      <c r="F30" s="97"/>
      <c r="G30" s="98"/>
      <c r="H30" s="97"/>
      <c r="I30" s="185"/>
      <c r="J30" s="186">
        <f t="shared" si="0"/>
        <v>0</v>
      </c>
      <c r="K30" s="187"/>
      <c r="L30" s="188" t="str">
        <f t="shared" si="9"/>
        <v>- -</v>
      </c>
      <c r="M30" s="54"/>
      <c r="N30" s="55"/>
      <c r="O30" s="54"/>
      <c r="P30" s="45"/>
      <c r="Q30" s="26"/>
      <c r="R30" s="206" t="str">
        <f t="shared" si="4"/>
        <v>- -</v>
      </c>
      <c r="S30" s="207"/>
      <c r="T30" s="208">
        <f t="shared" si="5"/>
        <v>0</v>
      </c>
      <c r="U30" s="207"/>
      <c r="V30" s="209" t="str">
        <f t="shared" si="6"/>
        <v>- -</v>
      </c>
      <c r="W30" s="207"/>
      <c r="X30" s="209" t="str">
        <f t="shared" si="7"/>
        <v>- -</v>
      </c>
      <c r="Y30" s="210"/>
      <c r="Z30" s="211" t="str">
        <f t="shared" si="1"/>
        <v/>
      </c>
      <c r="AA30" s="205" t="str">
        <f t="shared" si="2"/>
        <v/>
      </c>
      <c r="AB30" s="178"/>
      <c r="AC30" s="62"/>
      <c r="AD30" s="223" t="str">
        <f t="shared" si="3"/>
        <v/>
      </c>
    </row>
    <row r="31" spans="1:31" s="13" customFormat="1" ht="20.100000000000001" customHeight="1" x14ac:dyDescent="0.2">
      <c r="A31" s="167">
        <f t="shared" si="8"/>
        <v>13</v>
      </c>
      <c r="B31" s="168"/>
      <c r="C31" s="170" t="str">
        <f>IF(Vorgaben!C31&lt;&gt;"",Vorgaben!C31,"")</f>
        <v>NN 13</v>
      </c>
      <c r="D31" s="170" t="str">
        <f>IF(Vorgaben!D31&lt;&gt;"",Vorgaben!D31,"")</f>
        <v>VN 13</v>
      </c>
      <c r="E31" s="76"/>
      <c r="F31" s="97"/>
      <c r="G31" s="98"/>
      <c r="H31" s="97"/>
      <c r="I31" s="185"/>
      <c r="J31" s="186">
        <f t="shared" si="0"/>
        <v>0</v>
      </c>
      <c r="K31" s="187"/>
      <c r="L31" s="188" t="str">
        <f t="shared" si="9"/>
        <v>- -</v>
      </c>
      <c r="M31" s="54"/>
      <c r="N31" s="55"/>
      <c r="O31" s="54"/>
      <c r="P31" s="45"/>
      <c r="Q31" s="26"/>
      <c r="R31" s="206" t="str">
        <f t="shared" si="4"/>
        <v>- -</v>
      </c>
      <c r="S31" s="207"/>
      <c r="T31" s="208">
        <f t="shared" si="5"/>
        <v>0</v>
      </c>
      <c r="U31" s="207"/>
      <c r="V31" s="209" t="str">
        <f t="shared" si="6"/>
        <v>- -</v>
      </c>
      <c r="W31" s="207"/>
      <c r="X31" s="209" t="str">
        <f t="shared" si="7"/>
        <v>- -</v>
      </c>
      <c r="Y31" s="210"/>
      <c r="Z31" s="211" t="str">
        <f t="shared" si="1"/>
        <v/>
      </c>
      <c r="AA31" s="205" t="str">
        <f t="shared" si="2"/>
        <v/>
      </c>
      <c r="AB31" s="178"/>
      <c r="AC31" s="62"/>
      <c r="AD31" s="223" t="str">
        <f t="shared" si="3"/>
        <v/>
      </c>
    </row>
    <row r="32" spans="1:31" s="13" customFormat="1" ht="20.100000000000001" customHeight="1" x14ac:dyDescent="0.2">
      <c r="A32" s="167">
        <f t="shared" si="8"/>
        <v>14</v>
      </c>
      <c r="B32" s="168"/>
      <c r="C32" s="170" t="str">
        <f>IF(Vorgaben!C32&lt;&gt;"",Vorgaben!C32,"")</f>
        <v>NN 14</v>
      </c>
      <c r="D32" s="170" t="str">
        <f>IF(Vorgaben!D32&lt;&gt;"",Vorgaben!D32,"")</f>
        <v>VN 14</v>
      </c>
      <c r="E32" s="76"/>
      <c r="F32" s="97"/>
      <c r="G32" s="98"/>
      <c r="H32" s="97"/>
      <c r="I32" s="185"/>
      <c r="J32" s="186">
        <f t="shared" si="0"/>
        <v>0</v>
      </c>
      <c r="K32" s="187"/>
      <c r="L32" s="188" t="str">
        <f t="shared" si="9"/>
        <v>- -</v>
      </c>
      <c r="M32" s="54"/>
      <c r="N32" s="55"/>
      <c r="O32" s="54"/>
      <c r="P32" s="45"/>
      <c r="Q32" s="26"/>
      <c r="R32" s="206" t="str">
        <f t="shared" si="4"/>
        <v>- -</v>
      </c>
      <c r="S32" s="207"/>
      <c r="T32" s="208">
        <f t="shared" si="5"/>
        <v>0</v>
      </c>
      <c r="U32" s="207"/>
      <c r="V32" s="209" t="str">
        <f t="shared" si="6"/>
        <v>- -</v>
      </c>
      <c r="W32" s="207"/>
      <c r="X32" s="209" t="str">
        <f t="shared" si="7"/>
        <v>- -</v>
      </c>
      <c r="Y32" s="210"/>
      <c r="Z32" s="211" t="str">
        <f t="shared" si="1"/>
        <v/>
      </c>
      <c r="AA32" s="205" t="str">
        <f t="shared" si="2"/>
        <v/>
      </c>
      <c r="AB32" s="178"/>
      <c r="AC32" s="62"/>
      <c r="AD32" s="223" t="str">
        <f t="shared" si="3"/>
        <v/>
      </c>
    </row>
    <row r="33" spans="1:30" s="13" customFormat="1" ht="20.100000000000001" customHeight="1" x14ac:dyDescent="0.2">
      <c r="A33" s="167">
        <f t="shared" si="8"/>
        <v>15</v>
      </c>
      <c r="B33" s="168"/>
      <c r="C33" s="170" t="str">
        <f>IF(Vorgaben!C33&lt;&gt;"",Vorgaben!C33,"")</f>
        <v>NN 15</v>
      </c>
      <c r="D33" s="170" t="str">
        <f>IF(Vorgaben!D33&lt;&gt;"",Vorgaben!D33,"")</f>
        <v>VN 15</v>
      </c>
      <c r="E33" s="76"/>
      <c r="F33" s="97"/>
      <c r="G33" s="98"/>
      <c r="H33" s="97"/>
      <c r="I33" s="185"/>
      <c r="J33" s="186">
        <f t="shared" si="0"/>
        <v>0</v>
      </c>
      <c r="K33" s="187"/>
      <c r="L33" s="188" t="str">
        <f t="shared" si="9"/>
        <v>- -</v>
      </c>
      <c r="M33" s="54"/>
      <c r="N33" s="55"/>
      <c r="O33" s="54"/>
      <c r="P33" s="45"/>
      <c r="Q33" s="26"/>
      <c r="R33" s="206" t="str">
        <f t="shared" si="4"/>
        <v>- -</v>
      </c>
      <c r="S33" s="207"/>
      <c r="T33" s="208">
        <f t="shared" si="5"/>
        <v>0</v>
      </c>
      <c r="U33" s="207"/>
      <c r="V33" s="209" t="str">
        <f t="shared" si="6"/>
        <v>- -</v>
      </c>
      <c r="W33" s="207"/>
      <c r="X33" s="209" t="str">
        <f t="shared" si="7"/>
        <v>- -</v>
      </c>
      <c r="Y33" s="210"/>
      <c r="Z33" s="211" t="str">
        <f t="shared" si="1"/>
        <v/>
      </c>
      <c r="AA33" s="205" t="str">
        <f t="shared" si="2"/>
        <v/>
      </c>
      <c r="AB33" s="178"/>
      <c r="AC33" s="62"/>
      <c r="AD33" s="223" t="str">
        <f t="shared" si="3"/>
        <v/>
      </c>
    </row>
    <row r="34" spans="1:30" s="13" customFormat="1" ht="20.100000000000001" customHeight="1" x14ac:dyDescent="0.2">
      <c r="A34" s="167">
        <f t="shared" si="8"/>
        <v>16</v>
      </c>
      <c r="B34" s="168"/>
      <c r="C34" s="170" t="str">
        <f>IF(Vorgaben!C34&lt;&gt;"",Vorgaben!C34,"")</f>
        <v>NN 16</v>
      </c>
      <c r="D34" s="170" t="str">
        <f>IF(Vorgaben!D34&lt;&gt;"",Vorgaben!D34,"")</f>
        <v>VN 16</v>
      </c>
      <c r="E34" s="76"/>
      <c r="F34" s="97"/>
      <c r="G34" s="98"/>
      <c r="H34" s="97"/>
      <c r="I34" s="185"/>
      <c r="J34" s="186">
        <f t="shared" si="0"/>
        <v>0</v>
      </c>
      <c r="K34" s="187"/>
      <c r="L34" s="188" t="str">
        <f t="shared" si="9"/>
        <v>- -</v>
      </c>
      <c r="M34" s="54"/>
      <c r="N34" s="55"/>
      <c r="O34" s="54"/>
      <c r="P34" s="45"/>
      <c r="Q34" s="26"/>
      <c r="R34" s="206" t="str">
        <f t="shared" si="4"/>
        <v>- -</v>
      </c>
      <c r="S34" s="207"/>
      <c r="T34" s="208">
        <f t="shared" si="5"/>
        <v>0</v>
      </c>
      <c r="U34" s="207"/>
      <c r="V34" s="209" t="str">
        <f t="shared" si="6"/>
        <v>- -</v>
      </c>
      <c r="W34" s="207"/>
      <c r="X34" s="209" t="str">
        <f t="shared" si="7"/>
        <v>- -</v>
      </c>
      <c r="Y34" s="210"/>
      <c r="Z34" s="211" t="str">
        <f t="shared" si="1"/>
        <v/>
      </c>
      <c r="AA34" s="205" t="str">
        <f t="shared" si="2"/>
        <v/>
      </c>
      <c r="AB34" s="178"/>
      <c r="AC34" s="62"/>
      <c r="AD34" s="223" t="str">
        <f t="shared" si="3"/>
        <v/>
      </c>
    </row>
    <row r="35" spans="1:30" s="13" customFormat="1" ht="20.100000000000001" customHeight="1" x14ac:dyDescent="0.2">
      <c r="A35" s="167">
        <f t="shared" si="8"/>
        <v>17</v>
      </c>
      <c r="B35" s="168"/>
      <c r="C35" s="170" t="str">
        <f>IF(Vorgaben!C35&lt;&gt;"",Vorgaben!C35,"")</f>
        <v>NN 17</v>
      </c>
      <c r="D35" s="170" t="str">
        <f>IF(Vorgaben!D35&lt;&gt;"",Vorgaben!D35,"")</f>
        <v>VN 17</v>
      </c>
      <c r="E35" s="76"/>
      <c r="F35" s="97"/>
      <c r="G35" s="98"/>
      <c r="H35" s="97"/>
      <c r="I35" s="185"/>
      <c r="J35" s="186">
        <f t="shared" si="0"/>
        <v>0</v>
      </c>
      <c r="K35" s="187"/>
      <c r="L35" s="188" t="str">
        <f t="shared" si="9"/>
        <v>- -</v>
      </c>
      <c r="M35" s="54"/>
      <c r="N35" s="55"/>
      <c r="O35" s="54"/>
      <c r="P35" s="45"/>
      <c r="Q35" s="26"/>
      <c r="R35" s="206" t="str">
        <f t="shared" si="4"/>
        <v>- -</v>
      </c>
      <c r="S35" s="207"/>
      <c r="T35" s="208">
        <f t="shared" si="5"/>
        <v>0</v>
      </c>
      <c r="U35" s="207"/>
      <c r="V35" s="209" t="str">
        <f t="shared" si="6"/>
        <v>- -</v>
      </c>
      <c r="W35" s="207"/>
      <c r="X35" s="209" t="str">
        <f t="shared" si="7"/>
        <v>- -</v>
      </c>
      <c r="Y35" s="210"/>
      <c r="Z35" s="211" t="str">
        <f t="shared" si="1"/>
        <v/>
      </c>
      <c r="AA35" s="205" t="str">
        <f t="shared" si="2"/>
        <v/>
      </c>
      <c r="AB35" s="178"/>
      <c r="AC35" s="62"/>
      <c r="AD35" s="223" t="str">
        <f t="shared" si="3"/>
        <v/>
      </c>
    </row>
    <row r="36" spans="1:30" s="13" customFormat="1" ht="20.100000000000001" customHeight="1" x14ac:dyDescent="0.2">
      <c r="A36" s="167">
        <f t="shared" si="8"/>
        <v>18</v>
      </c>
      <c r="B36" s="168"/>
      <c r="C36" s="170" t="str">
        <f>IF(Vorgaben!C36&lt;&gt;"",Vorgaben!C36,"")</f>
        <v>NN 18</v>
      </c>
      <c r="D36" s="170" t="str">
        <f>IF(Vorgaben!D36&lt;&gt;"",Vorgaben!D36,"")</f>
        <v>VN 18</v>
      </c>
      <c r="E36" s="76"/>
      <c r="F36" s="97"/>
      <c r="G36" s="98"/>
      <c r="H36" s="97"/>
      <c r="I36" s="185"/>
      <c r="J36" s="186">
        <f t="shared" si="0"/>
        <v>0</v>
      </c>
      <c r="K36" s="187"/>
      <c r="L36" s="188" t="str">
        <f t="shared" si="9"/>
        <v>- -</v>
      </c>
      <c r="M36" s="54"/>
      <c r="N36" s="55"/>
      <c r="O36" s="54"/>
      <c r="P36" s="45"/>
      <c r="Q36" s="26"/>
      <c r="R36" s="206" t="str">
        <f t="shared" si="4"/>
        <v>- -</v>
      </c>
      <c r="S36" s="207"/>
      <c r="T36" s="208">
        <f t="shared" si="5"/>
        <v>0</v>
      </c>
      <c r="U36" s="207"/>
      <c r="V36" s="209" t="str">
        <f t="shared" si="6"/>
        <v>- -</v>
      </c>
      <c r="W36" s="207"/>
      <c r="X36" s="209" t="str">
        <f t="shared" si="7"/>
        <v>- -</v>
      </c>
      <c r="Y36" s="210"/>
      <c r="Z36" s="211" t="str">
        <f t="shared" si="1"/>
        <v/>
      </c>
      <c r="AA36" s="205" t="str">
        <f t="shared" si="2"/>
        <v/>
      </c>
      <c r="AB36" s="178"/>
      <c r="AC36" s="62"/>
      <c r="AD36" s="223" t="str">
        <f t="shared" si="3"/>
        <v/>
      </c>
    </row>
    <row r="37" spans="1:30" s="13" customFormat="1" ht="20.100000000000001" customHeight="1" x14ac:dyDescent="0.2">
      <c r="A37" s="167">
        <f t="shared" si="8"/>
        <v>19</v>
      </c>
      <c r="B37" s="168"/>
      <c r="C37" s="170" t="str">
        <f>IF(Vorgaben!C37&lt;&gt;"",Vorgaben!C37,"")</f>
        <v>NN 19</v>
      </c>
      <c r="D37" s="170" t="str">
        <f>IF(Vorgaben!D37&lt;&gt;"",Vorgaben!D37,"")</f>
        <v>VN 19</v>
      </c>
      <c r="E37" s="76"/>
      <c r="F37" s="97"/>
      <c r="G37" s="98"/>
      <c r="H37" s="97"/>
      <c r="I37" s="185"/>
      <c r="J37" s="186">
        <f t="shared" si="0"/>
        <v>0</v>
      </c>
      <c r="K37" s="187"/>
      <c r="L37" s="188" t="str">
        <f t="shared" si="9"/>
        <v>- -</v>
      </c>
      <c r="M37" s="54"/>
      <c r="N37" s="55"/>
      <c r="O37" s="54"/>
      <c r="P37" s="45"/>
      <c r="Q37" s="26"/>
      <c r="R37" s="206" t="str">
        <f t="shared" si="4"/>
        <v>- -</v>
      </c>
      <c r="S37" s="207"/>
      <c r="T37" s="208">
        <f t="shared" si="5"/>
        <v>0</v>
      </c>
      <c r="U37" s="207"/>
      <c r="V37" s="209" t="str">
        <f t="shared" si="6"/>
        <v>- -</v>
      </c>
      <c r="W37" s="207"/>
      <c r="X37" s="209" t="str">
        <f t="shared" si="7"/>
        <v>- -</v>
      </c>
      <c r="Y37" s="210"/>
      <c r="Z37" s="211" t="str">
        <f t="shared" si="1"/>
        <v/>
      </c>
      <c r="AA37" s="205" t="str">
        <f t="shared" si="2"/>
        <v/>
      </c>
      <c r="AB37" s="178"/>
      <c r="AC37" s="62"/>
      <c r="AD37" s="223" t="str">
        <f t="shared" si="3"/>
        <v/>
      </c>
    </row>
    <row r="38" spans="1:30" s="13" customFormat="1" ht="20.100000000000001" customHeight="1" x14ac:dyDescent="0.2">
      <c r="A38" s="167">
        <f t="shared" si="8"/>
        <v>20</v>
      </c>
      <c r="B38" s="168"/>
      <c r="C38" s="170" t="str">
        <f>IF(Vorgaben!C38&lt;&gt;"",Vorgaben!C38,"")</f>
        <v>NN 20</v>
      </c>
      <c r="D38" s="170" t="str">
        <f>IF(Vorgaben!D38&lt;&gt;"",Vorgaben!D38,"")</f>
        <v>VN 20</v>
      </c>
      <c r="E38" s="76"/>
      <c r="F38" s="97"/>
      <c r="G38" s="98"/>
      <c r="H38" s="97"/>
      <c r="I38" s="185"/>
      <c r="J38" s="186">
        <f t="shared" si="0"/>
        <v>0</v>
      </c>
      <c r="K38" s="187"/>
      <c r="L38" s="188" t="str">
        <f t="shared" si="9"/>
        <v>- -</v>
      </c>
      <c r="M38" s="54"/>
      <c r="N38" s="55"/>
      <c r="O38" s="54"/>
      <c r="P38" s="45"/>
      <c r="Q38" s="26"/>
      <c r="R38" s="206" t="str">
        <f t="shared" si="4"/>
        <v>- -</v>
      </c>
      <c r="S38" s="207"/>
      <c r="T38" s="208">
        <f t="shared" si="5"/>
        <v>0</v>
      </c>
      <c r="U38" s="207"/>
      <c r="V38" s="209" t="str">
        <f t="shared" si="6"/>
        <v>- -</v>
      </c>
      <c r="W38" s="207"/>
      <c r="X38" s="209" t="str">
        <f t="shared" si="7"/>
        <v>- -</v>
      </c>
      <c r="Y38" s="210"/>
      <c r="Z38" s="211" t="str">
        <f t="shared" si="1"/>
        <v/>
      </c>
      <c r="AA38" s="205" t="str">
        <f t="shared" si="2"/>
        <v/>
      </c>
      <c r="AB38" s="178"/>
      <c r="AC38" s="62"/>
      <c r="AD38" s="223" t="str">
        <f t="shared" si="3"/>
        <v/>
      </c>
    </row>
    <row r="39" spans="1:30" s="13" customFormat="1" ht="20.100000000000001" customHeight="1" x14ac:dyDescent="0.2">
      <c r="A39" s="167">
        <f t="shared" si="8"/>
        <v>21</v>
      </c>
      <c r="B39" s="168"/>
      <c r="C39" s="170" t="str">
        <f>IF(Vorgaben!C39&lt;&gt;"",Vorgaben!C39,"")</f>
        <v>NN 21</v>
      </c>
      <c r="D39" s="170" t="str">
        <f>IF(Vorgaben!D39&lt;&gt;"",Vorgaben!D39,"")</f>
        <v>VN 21</v>
      </c>
      <c r="E39" s="76"/>
      <c r="F39" s="97"/>
      <c r="G39" s="98"/>
      <c r="H39" s="97"/>
      <c r="I39" s="185"/>
      <c r="J39" s="186">
        <f t="shared" si="0"/>
        <v>0</v>
      </c>
      <c r="K39" s="187"/>
      <c r="L39" s="188" t="str">
        <f t="shared" si="9"/>
        <v>- -</v>
      </c>
      <c r="M39" s="54"/>
      <c r="N39" s="55"/>
      <c r="O39" s="54"/>
      <c r="P39" s="45"/>
      <c r="Q39" s="26"/>
      <c r="R39" s="206" t="str">
        <f t="shared" si="4"/>
        <v>- -</v>
      </c>
      <c r="S39" s="207"/>
      <c r="T39" s="208">
        <f t="shared" si="5"/>
        <v>0</v>
      </c>
      <c r="U39" s="207"/>
      <c r="V39" s="209" t="str">
        <f t="shared" si="6"/>
        <v>- -</v>
      </c>
      <c r="W39" s="207"/>
      <c r="X39" s="209" t="str">
        <f t="shared" si="7"/>
        <v>- -</v>
      </c>
      <c r="Y39" s="210"/>
      <c r="Z39" s="211" t="str">
        <f t="shared" si="1"/>
        <v/>
      </c>
      <c r="AA39" s="205" t="str">
        <f t="shared" si="2"/>
        <v/>
      </c>
      <c r="AB39" s="178"/>
      <c r="AC39" s="62"/>
      <c r="AD39" s="223" t="str">
        <f t="shared" si="3"/>
        <v/>
      </c>
    </row>
    <row r="40" spans="1:30" s="13" customFormat="1" ht="20.100000000000001" customHeight="1" x14ac:dyDescent="0.2">
      <c r="A40" s="167">
        <f t="shared" si="8"/>
        <v>22</v>
      </c>
      <c r="B40" s="168"/>
      <c r="C40" s="170" t="str">
        <f>IF(Vorgaben!C40&lt;&gt;"",Vorgaben!C40,"")</f>
        <v>NN 22</v>
      </c>
      <c r="D40" s="170" t="str">
        <f>IF(Vorgaben!D40&lt;&gt;"",Vorgaben!D40,"")</f>
        <v>VN 22</v>
      </c>
      <c r="E40" s="76"/>
      <c r="F40" s="97"/>
      <c r="G40" s="98"/>
      <c r="H40" s="97"/>
      <c r="I40" s="185"/>
      <c r="J40" s="186">
        <f t="shared" si="0"/>
        <v>0</v>
      </c>
      <c r="K40" s="187"/>
      <c r="L40" s="188" t="str">
        <f t="shared" si="9"/>
        <v>- -</v>
      </c>
      <c r="M40" s="54"/>
      <c r="N40" s="55"/>
      <c r="O40" s="54"/>
      <c r="P40" s="45"/>
      <c r="Q40" s="26"/>
      <c r="R40" s="206" t="str">
        <f t="shared" si="4"/>
        <v>- -</v>
      </c>
      <c r="S40" s="207"/>
      <c r="T40" s="208">
        <f t="shared" si="5"/>
        <v>0</v>
      </c>
      <c r="U40" s="207"/>
      <c r="V40" s="209" t="str">
        <f t="shared" si="6"/>
        <v>- -</v>
      </c>
      <c r="W40" s="207"/>
      <c r="X40" s="209" t="str">
        <f t="shared" si="7"/>
        <v>- -</v>
      </c>
      <c r="Y40" s="210"/>
      <c r="Z40" s="211" t="str">
        <f t="shared" si="1"/>
        <v/>
      </c>
      <c r="AA40" s="205" t="str">
        <f t="shared" si="2"/>
        <v/>
      </c>
      <c r="AB40" s="178"/>
      <c r="AC40" s="62"/>
      <c r="AD40" s="223" t="str">
        <f t="shared" si="3"/>
        <v/>
      </c>
    </row>
    <row r="41" spans="1:30" s="13" customFormat="1" ht="20.100000000000001" customHeight="1" x14ac:dyDescent="0.2">
      <c r="A41" s="167">
        <f t="shared" si="8"/>
        <v>23</v>
      </c>
      <c r="B41" s="168"/>
      <c r="C41" s="171" t="str">
        <f>IF(Vorgaben!C41&lt;&gt;"",Vorgaben!C41,"")</f>
        <v>NN 23</v>
      </c>
      <c r="D41" s="171" t="str">
        <f>IF(Vorgaben!D41&lt;&gt;"",Vorgaben!D41,"")</f>
        <v>VN 23</v>
      </c>
      <c r="E41" s="76"/>
      <c r="F41" s="97"/>
      <c r="G41" s="98"/>
      <c r="H41" s="97"/>
      <c r="I41" s="185"/>
      <c r="J41" s="186">
        <f t="shared" si="0"/>
        <v>0</v>
      </c>
      <c r="K41" s="187"/>
      <c r="L41" s="188" t="str">
        <f t="shared" si="9"/>
        <v>- -</v>
      </c>
      <c r="M41" s="54"/>
      <c r="N41" s="55"/>
      <c r="O41" s="54"/>
      <c r="P41" s="45"/>
      <c r="Q41" s="26"/>
      <c r="R41" s="206" t="str">
        <f t="shared" si="4"/>
        <v>- -</v>
      </c>
      <c r="S41" s="207"/>
      <c r="T41" s="208">
        <f t="shared" si="5"/>
        <v>0</v>
      </c>
      <c r="U41" s="207"/>
      <c r="V41" s="209" t="str">
        <f t="shared" si="6"/>
        <v>- -</v>
      </c>
      <c r="W41" s="207"/>
      <c r="X41" s="209" t="str">
        <f t="shared" si="7"/>
        <v>- -</v>
      </c>
      <c r="Y41" s="210"/>
      <c r="Z41" s="211" t="str">
        <f t="shared" si="1"/>
        <v/>
      </c>
      <c r="AA41" s="205" t="str">
        <f t="shared" si="2"/>
        <v/>
      </c>
      <c r="AB41" s="178"/>
      <c r="AC41" s="62"/>
      <c r="AD41" s="223" t="str">
        <f t="shared" si="3"/>
        <v/>
      </c>
    </row>
    <row r="42" spans="1:30" s="13" customFormat="1" ht="20.100000000000001" customHeight="1" x14ac:dyDescent="0.2">
      <c r="A42" s="167">
        <f t="shared" si="8"/>
        <v>24</v>
      </c>
      <c r="B42" s="168"/>
      <c r="C42" s="171" t="str">
        <f>IF(Vorgaben!C42&lt;&gt;"",Vorgaben!C42,"")</f>
        <v>NN 24</v>
      </c>
      <c r="D42" s="171" t="str">
        <f>IF(Vorgaben!D42&lt;&gt;"",Vorgaben!D42,"")</f>
        <v>VN 24</v>
      </c>
      <c r="E42" s="76"/>
      <c r="F42" s="97"/>
      <c r="G42" s="98"/>
      <c r="H42" s="97"/>
      <c r="I42" s="185"/>
      <c r="J42" s="186">
        <f t="shared" si="0"/>
        <v>0</v>
      </c>
      <c r="K42" s="187"/>
      <c r="L42" s="188" t="str">
        <f t="shared" si="9"/>
        <v>- -</v>
      </c>
      <c r="M42" s="54"/>
      <c r="N42" s="55"/>
      <c r="O42" s="54"/>
      <c r="P42" s="45"/>
      <c r="Q42" s="26"/>
      <c r="R42" s="206" t="str">
        <f t="shared" si="4"/>
        <v>- -</v>
      </c>
      <c r="S42" s="207"/>
      <c r="T42" s="208">
        <f t="shared" si="5"/>
        <v>0</v>
      </c>
      <c r="U42" s="207"/>
      <c r="V42" s="209" t="str">
        <f t="shared" si="6"/>
        <v>- -</v>
      </c>
      <c r="W42" s="207"/>
      <c r="X42" s="209" t="str">
        <f t="shared" si="7"/>
        <v>- -</v>
      </c>
      <c r="Y42" s="210"/>
      <c r="Z42" s="211" t="str">
        <f t="shared" si="1"/>
        <v/>
      </c>
      <c r="AA42" s="205" t="str">
        <f t="shared" si="2"/>
        <v/>
      </c>
      <c r="AB42" s="178"/>
      <c r="AC42" s="62"/>
      <c r="AD42" s="223" t="str">
        <f t="shared" si="3"/>
        <v/>
      </c>
    </row>
    <row r="43" spans="1:30" s="13" customFormat="1" ht="20.100000000000001" customHeight="1" x14ac:dyDescent="0.2">
      <c r="A43" s="167">
        <f t="shared" si="8"/>
        <v>25</v>
      </c>
      <c r="B43" s="168"/>
      <c r="C43" s="171" t="str">
        <f>IF(Vorgaben!C43&lt;&gt;"",Vorgaben!C43,"")</f>
        <v>NN 25</v>
      </c>
      <c r="D43" s="171" t="str">
        <f>IF(Vorgaben!D43&lt;&gt;"",Vorgaben!D43,"")</f>
        <v>VN 25</v>
      </c>
      <c r="E43" s="76"/>
      <c r="F43" s="97"/>
      <c r="G43" s="98"/>
      <c r="H43" s="97"/>
      <c r="I43" s="185"/>
      <c r="J43" s="186">
        <f t="shared" si="0"/>
        <v>0</v>
      </c>
      <c r="K43" s="187"/>
      <c r="L43" s="188" t="str">
        <f t="shared" si="9"/>
        <v>- -</v>
      </c>
      <c r="M43" s="54"/>
      <c r="N43" s="55"/>
      <c r="O43" s="54"/>
      <c r="P43" s="45"/>
      <c r="Q43" s="26"/>
      <c r="R43" s="206" t="str">
        <f t="shared" si="4"/>
        <v>- -</v>
      </c>
      <c r="S43" s="207"/>
      <c r="T43" s="208">
        <f t="shared" si="5"/>
        <v>0</v>
      </c>
      <c r="U43" s="207"/>
      <c r="V43" s="209" t="str">
        <f t="shared" si="6"/>
        <v>- -</v>
      </c>
      <c r="W43" s="207"/>
      <c r="X43" s="209" t="str">
        <f t="shared" si="7"/>
        <v>- -</v>
      </c>
      <c r="Y43" s="210"/>
      <c r="Z43" s="211" t="str">
        <f t="shared" si="1"/>
        <v/>
      </c>
      <c r="AA43" s="205" t="str">
        <f t="shared" si="2"/>
        <v/>
      </c>
      <c r="AB43" s="178"/>
      <c r="AC43" s="62"/>
      <c r="AD43" s="223" t="str">
        <f t="shared" si="3"/>
        <v/>
      </c>
    </row>
    <row r="44" spans="1:30" s="13" customFormat="1" ht="20.100000000000001" customHeight="1" x14ac:dyDescent="0.2">
      <c r="A44" s="167">
        <f t="shared" si="8"/>
        <v>26</v>
      </c>
      <c r="B44" s="168"/>
      <c r="C44" s="170" t="str">
        <f>IF(Vorgaben!C44&lt;&gt;"",Vorgaben!C44,"")</f>
        <v>NN 26</v>
      </c>
      <c r="D44" s="170" t="str">
        <f>IF(Vorgaben!D44&lt;&gt;"",Vorgaben!D44,"")</f>
        <v>VN 26</v>
      </c>
      <c r="E44" s="76"/>
      <c r="F44" s="97"/>
      <c r="G44" s="98"/>
      <c r="H44" s="97"/>
      <c r="I44" s="185"/>
      <c r="J44" s="186">
        <f t="shared" si="0"/>
        <v>0</v>
      </c>
      <c r="K44" s="187"/>
      <c r="L44" s="188" t="str">
        <f t="shared" si="9"/>
        <v>- -</v>
      </c>
      <c r="M44" s="54"/>
      <c r="N44" s="55"/>
      <c r="O44" s="54"/>
      <c r="P44" s="45"/>
      <c r="Q44" s="26"/>
      <c r="R44" s="206" t="str">
        <f t="shared" si="4"/>
        <v>- -</v>
      </c>
      <c r="S44" s="207"/>
      <c r="T44" s="208">
        <f t="shared" si="5"/>
        <v>0</v>
      </c>
      <c r="U44" s="207"/>
      <c r="V44" s="209" t="str">
        <f t="shared" si="6"/>
        <v>- -</v>
      </c>
      <c r="W44" s="207"/>
      <c r="X44" s="209" t="str">
        <f t="shared" si="7"/>
        <v>- -</v>
      </c>
      <c r="Y44" s="210"/>
      <c r="Z44" s="211" t="str">
        <f t="shared" si="1"/>
        <v/>
      </c>
      <c r="AA44" s="205" t="str">
        <f t="shared" si="2"/>
        <v/>
      </c>
      <c r="AB44" s="178"/>
      <c r="AC44" s="62"/>
      <c r="AD44" s="223" t="str">
        <f t="shared" si="3"/>
        <v/>
      </c>
    </row>
    <row r="45" spans="1:30" s="13" customFormat="1" ht="20.100000000000001" customHeight="1" x14ac:dyDescent="0.2">
      <c r="A45" s="167">
        <f t="shared" si="8"/>
        <v>27</v>
      </c>
      <c r="B45" s="168"/>
      <c r="C45" s="170" t="str">
        <f>IF(Vorgaben!C45&lt;&gt;"",Vorgaben!C45,"")</f>
        <v>NN 27</v>
      </c>
      <c r="D45" s="170" t="str">
        <f>IF(Vorgaben!D45&lt;&gt;"",Vorgaben!D45,"")</f>
        <v>VN 27</v>
      </c>
      <c r="E45" s="76"/>
      <c r="F45" s="97"/>
      <c r="G45" s="98"/>
      <c r="H45" s="97"/>
      <c r="I45" s="185"/>
      <c r="J45" s="186">
        <f t="shared" si="0"/>
        <v>0</v>
      </c>
      <c r="K45" s="187"/>
      <c r="L45" s="188" t="str">
        <f t="shared" si="9"/>
        <v>- -</v>
      </c>
      <c r="M45" s="54"/>
      <c r="N45" s="55"/>
      <c r="O45" s="54"/>
      <c r="P45" s="45"/>
      <c r="Q45" s="26"/>
      <c r="R45" s="206" t="str">
        <f t="shared" si="4"/>
        <v>- -</v>
      </c>
      <c r="S45" s="207"/>
      <c r="T45" s="208">
        <f t="shared" si="5"/>
        <v>0</v>
      </c>
      <c r="U45" s="207"/>
      <c r="V45" s="209" t="str">
        <f t="shared" si="6"/>
        <v>- -</v>
      </c>
      <c r="W45" s="207"/>
      <c r="X45" s="209" t="str">
        <f t="shared" si="7"/>
        <v>- -</v>
      </c>
      <c r="Y45" s="210"/>
      <c r="Z45" s="211" t="str">
        <f t="shared" si="1"/>
        <v/>
      </c>
      <c r="AA45" s="205" t="str">
        <f t="shared" si="2"/>
        <v/>
      </c>
      <c r="AB45" s="178"/>
      <c r="AC45" s="62"/>
      <c r="AD45" s="223" t="str">
        <f t="shared" si="3"/>
        <v/>
      </c>
    </row>
    <row r="46" spans="1:30" s="13" customFormat="1" ht="20.100000000000001" customHeight="1" x14ac:dyDescent="0.2">
      <c r="A46" s="167">
        <f t="shared" si="8"/>
        <v>28</v>
      </c>
      <c r="B46" s="168"/>
      <c r="C46" s="170" t="str">
        <f>IF(Vorgaben!C46&lt;&gt;"",Vorgaben!C46,"")</f>
        <v>NN 28</v>
      </c>
      <c r="D46" s="170" t="str">
        <f>IF(Vorgaben!D46&lt;&gt;"",Vorgaben!D46,"")</f>
        <v>VN 28</v>
      </c>
      <c r="E46" s="77"/>
      <c r="F46" s="97"/>
      <c r="G46" s="98"/>
      <c r="H46" s="97"/>
      <c r="I46" s="185"/>
      <c r="J46" s="186">
        <f t="shared" si="0"/>
        <v>0</v>
      </c>
      <c r="K46" s="187"/>
      <c r="L46" s="188" t="str">
        <f t="shared" si="9"/>
        <v>- -</v>
      </c>
      <c r="M46" s="54"/>
      <c r="N46" s="55"/>
      <c r="O46" s="54"/>
      <c r="P46" s="45"/>
      <c r="Q46" s="26"/>
      <c r="R46" s="206" t="str">
        <f>IF($C46&lt;&gt;"",IF(OR(L46="x",N46="j"),IF(P46="","- -",(5*$F46+3*$H46+2*$P46)/10),"- -"),"")</f>
        <v>- -</v>
      </c>
      <c r="S46" s="207"/>
      <c r="T46" s="208">
        <f>IF($C46&lt;&gt;"",IF(J46=0,H46,"- -"),"")</f>
        <v>0</v>
      </c>
      <c r="U46" s="207"/>
      <c r="V46" s="209" t="str">
        <f>IF($C46&lt;&gt;"",IF(J46&lt;&gt;1,"- -",IF(AND($AC46&lt;&gt;"",$AD46=""),$AC46,"f")),"")</f>
        <v>- -</v>
      </c>
      <c r="W46" s="207"/>
      <c r="X46" s="209" t="str">
        <f>IF($C46&lt;&gt;"",IF(AND(J46=2,N46="n"),(F46+H46)/2,"- -"),"")</f>
        <v>- -</v>
      </c>
      <c r="Y46" s="210"/>
      <c r="Z46" s="211" t="str">
        <f>IF($C46&lt;&gt;"",IF(OR(F46="",H46=""),"",IF(OR(R46="- -",R46=""),"",ROUND(R46-0.05,0))&amp;IF(T46="- -","",T46)&amp;IF(OR(V46="- -",V46="f"),"",V46)&amp;IF(X46="- -","",X46)),"")</f>
        <v/>
      </c>
      <c r="AA46" s="205" t="str">
        <f t="shared" si="2"/>
        <v/>
      </c>
      <c r="AB46" s="178"/>
      <c r="AC46" s="62"/>
      <c r="AD46" s="223" t="str">
        <f t="shared" si="3"/>
        <v/>
      </c>
    </row>
    <row r="47" spans="1:30" s="13" customFormat="1" ht="20.100000000000001" customHeight="1" x14ac:dyDescent="0.2">
      <c r="A47" s="167">
        <f t="shared" si="8"/>
        <v>29</v>
      </c>
      <c r="B47" s="168"/>
      <c r="C47" s="170" t="str">
        <f>IF(Vorgaben!C47&lt;&gt;"",Vorgaben!C47,"")</f>
        <v>NN 29</v>
      </c>
      <c r="D47" s="170" t="str">
        <f>IF(Vorgaben!D47&lt;&gt;"",Vorgaben!D47,"")</f>
        <v>VN 29</v>
      </c>
      <c r="E47" s="77"/>
      <c r="F47" s="97"/>
      <c r="G47" s="98"/>
      <c r="H47" s="97"/>
      <c r="I47" s="185"/>
      <c r="J47" s="186">
        <f t="shared" si="0"/>
        <v>0</v>
      </c>
      <c r="K47" s="187"/>
      <c r="L47" s="188" t="str">
        <f t="shared" si="9"/>
        <v>- -</v>
      </c>
      <c r="M47" s="54"/>
      <c r="N47" s="55"/>
      <c r="O47" s="54"/>
      <c r="P47" s="45"/>
      <c r="Q47" s="26"/>
      <c r="R47" s="206" t="str">
        <f t="shared" ref="R47:R54" si="10">IF($C47&lt;&gt;"",IF(OR(L47="x",N47="j"),IF(P47="","- -",(5*$F47+3*$H47+2*$P47)/10),"- -"),"")</f>
        <v>- -</v>
      </c>
      <c r="S47" s="207"/>
      <c r="T47" s="208">
        <f t="shared" ref="T47:T54" si="11">IF($C47&lt;&gt;"",IF(J47=0,H47,"- -"),"")</f>
        <v>0</v>
      </c>
      <c r="U47" s="207"/>
      <c r="V47" s="209" t="str">
        <f t="shared" ref="V47:V54" si="12">IF($C47&lt;&gt;"",IF(J47&lt;&gt;1,"- -",IF(AND($AC47&lt;&gt;"",$AD47=""),$AC47,"f")),"")</f>
        <v>- -</v>
      </c>
      <c r="W47" s="207"/>
      <c r="X47" s="209" t="str">
        <f t="shared" ref="X47:X54" si="13">IF($C47&lt;&gt;"",IF(AND(J47=2,N47="n"),(F47+H47)/2,"- -"),"")</f>
        <v>- -</v>
      </c>
      <c r="Y47" s="210"/>
      <c r="Z47" s="211" t="str">
        <f t="shared" ref="Z47:Z54" si="14">IF($C47&lt;&gt;"",IF(OR(F47="",H47=""),"",IF(OR(R47="- -",R47=""),"",ROUND(R47-0.05,0))&amp;IF(T47="- -","",T47)&amp;IF(OR(V47="- -",V47="f"),"",V47)&amp;IF(X47="- -","",X47)),"")</f>
        <v/>
      </c>
      <c r="AA47" s="205" t="str">
        <f t="shared" si="2"/>
        <v/>
      </c>
      <c r="AB47" s="178"/>
      <c r="AC47" s="62"/>
      <c r="AD47" s="223" t="str">
        <f t="shared" si="3"/>
        <v/>
      </c>
    </row>
    <row r="48" spans="1:30" s="13" customFormat="1" ht="20.100000000000001" customHeight="1" x14ac:dyDescent="0.2">
      <c r="A48" s="167">
        <f t="shared" si="8"/>
        <v>30</v>
      </c>
      <c r="B48" s="168"/>
      <c r="C48" s="170" t="str">
        <f>IF(Vorgaben!C48&lt;&gt;"",Vorgaben!C48,"")</f>
        <v>NN 30</v>
      </c>
      <c r="D48" s="170" t="str">
        <f>IF(Vorgaben!D48&lt;&gt;"",Vorgaben!D48,"")</f>
        <v>VN 30</v>
      </c>
      <c r="E48" s="77"/>
      <c r="F48" s="97"/>
      <c r="G48" s="98"/>
      <c r="H48" s="97"/>
      <c r="I48" s="185"/>
      <c r="J48" s="186">
        <f t="shared" si="0"/>
        <v>0</v>
      </c>
      <c r="K48" s="187"/>
      <c r="L48" s="188" t="str">
        <f t="shared" si="9"/>
        <v>- -</v>
      </c>
      <c r="M48" s="54"/>
      <c r="N48" s="55"/>
      <c r="O48" s="54"/>
      <c r="P48" s="45"/>
      <c r="Q48" s="26"/>
      <c r="R48" s="206" t="str">
        <f t="shared" si="10"/>
        <v>- -</v>
      </c>
      <c r="S48" s="207"/>
      <c r="T48" s="208">
        <f t="shared" si="11"/>
        <v>0</v>
      </c>
      <c r="U48" s="207"/>
      <c r="V48" s="209" t="str">
        <f t="shared" si="12"/>
        <v>- -</v>
      </c>
      <c r="W48" s="207"/>
      <c r="X48" s="209" t="str">
        <f t="shared" si="13"/>
        <v>- -</v>
      </c>
      <c r="Y48" s="210"/>
      <c r="Z48" s="211" t="str">
        <f t="shared" si="14"/>
        <v/>
      </c>
      <c r="AA48" s="205" t="str">
        <f t="shared" si="2"/>
        <v/>
      </c>
      <c r="AB48" s="178"/>
      <c r="AC48" s="62"/>
      <c r="AD48" s="223" t="str">
        <f t="shared" si="3"/>
        <v/>
      </c>
    </row>
    <row r="49" spans="1:30" s="13" customFormat="1" ht="20.100000000000001" customHeight="1" x14ac:dyDescent="0.2">
      <c r="A49" s="167">
        <f t="shared" si="8"/>
        <v>31</v>
      </c>
      <c r="B49" s="168"/>
      <c r="C49" s="170" t="str">
        <f>IF(Vorgaben!C49&lt;&gt;"",Vorgaben!C49,"")</f>
        <v>NN 31</v>
      </c>
      <c r="D49" s="170" t="str">
        <f>IF(Vorgaben!D49&lt;&gt;"",Vorgaben!D49,"")</f>
        <v>VN 31</v>
      </c>
      <c r="E49" s="77"/>
      <c r="F49" s="97"/>
      <c r="G49" s="98"/>
      <c r="H49" s="97"/>
      <c r="I49" s="185"/>
      <c r="J49" s="186">
        <f t="shared" si="0"/>
        <v>0</v>
      </c>
      <c r="K49" s="187"/>
      <c r="L49" s="188" t="str">
        <f t="shared" si="9"/>
        <v>- -</v>
      </c>
      <c r="M49" s="54"/>
      <c r="N49" s="55"/>
      <c r="O49" s="54"/>
      <c r="P49" s="45"/>
      <c r="Q49" s="26"/>
      <c r="R49" s="206" t="str">
        <f t="shared" si="10"/>
        <v>- -</v>
      </c>
      <c r="S49" s="207"/>
      <c r="T49" s="208">
        <f t="shared" si="11"/>
        <v>0</v>
      </c>
      <c r="U49" s="207"/>
      <c r="V49" s="209" t="str">
        <f t="shared" si="12"/>
        <v>- -</v>
      </c>
      <c r="W49" s="207"/>
      <c r="X49" s="209" t="str">
        <f t="shared" si="13"/>
        <v>- -</v>
      </c>
      <c r="Y49" s="210"/>
      <c r="Z49" s="211" t="str">
        <f t="shared" si="14"/>
        <v/>
      </c>
      <c r="AA49" s="205" t="str">
        <f t="shared" si="2"/>
        <v/>
      </c>
      <c r="AB49" s="178"/>
      <c r="AC49" s="62"/>
      <c r="AD49" s="223" t="str">
        <f t="shared" si="3"/>
        <v/>
      </c>
    </row>
    <row r="50" spans="1:30" s="13" customFormat="1" ht="20.100000000000001" customHeight="1" x14ac:dyDescent="0.2">
      <c r="A50" s="167">
        <f t="shared" si="8"/>
        <v>32</v>
      </c>
      <c r="B50" s="168"/>
      <c r="C50" s="170" t="str">
        <f>IF(Vorgaben!C50&lt;&gt;"",Vorgaben!C50,"")</f>
        <v>NN 32</v>
      </c>
      <c r="D50" s="170" t="str">
        <f>IF(Vorgaben!D50&lt;&gt;"",Vorgaben!D50,"")</f>
        <v>VN 32</v>
      </c>
      <c r="E50" s="77"/>
      <c r="F50" s="97"/>
      <c r="G50" s="98"/>
      <c r="H50" s="97"/>
      <c r="I50" s="185"/>
      <c r="J50" s="186">
        <f t="shared" si="0"/>
        <v>0</v>
      </c>
      <c r="K50" s="187"/>
      <c r="L50" s="188" t="str">
        <f t="shared" si="9"/>
        <v>- -</v>
      </c>
      <c r="M50" s="54"/>
      <c r="N50" s="55"/>
      <c r="O50" s="54"/>
      <c r="P50" s="45"/>
      <c r="Q50" s="26"/>
      <c r="R50" s="206" t="str">
        <f t="shared" si="10"/>
        <v>- -</v>
      </c>
      <c r="S50" s="207"/>
      <c r="T50" s="208">
        <f t="shared" si="11"/>
        <v>0</v>
      </c>
      <c r="U50" s="207"/>
      <c r="V50" s="209" t="str">
        <f t="shared" si="12"/>
        <v>- -</v>
      </c>
      <c r="W50" s="207"/>
      <c r="X50" s="209" t="str">
        <f t="shared" si="13"/>
        <v>- -</v>
      </c>
      <c r="Y50" s="210"/>
      <c r="Z50" s="211" t="str">
        <f t="shared" si="14"/>
        <v/>
      </c>
      <c r="AA50" s="205" t="str">
        <f t="shared" si="2"/>
        <v/>
      </c>
      <c r="AB50" s="178"/>
      <c r="AC50" s="62"/>
      <c r="AD50" s="223" t="str">
        <f t="shared" si="3"/>
        <v/>
      </c>
    </row>
    <row r="51" spans="1:30" s="13" customFormat="1" ht="20.100000000000001" customHeight="1" x14ac:dyDescent="0.2">
      <c r="A51" s="167">
        <f t="shared" si="8"/>
        <v>33</v>
      </c>
      <c r="B51" s="168"/>
      <c r="C51" s="170" t="str">
        <f>IF(Vorgaben!C51&lt;&gt;"",Vorgaben!C51,"")</f>
        <v>NN 33</v>
      </c>
      <c r="D51" s="170" t="str">
        <f>IF(Vorgaben!D51&lt;&gt;"",Vorgaben!D51,"")</f>
        <v>VN 33</v>
      </c>
      <c r="E51" s="77"/>
      <c r="F51" s="97"/>
      <c r="G51" s="98"/>
      <c r="H51" s="97"/>
      <c r="I51" s="185"/>
      <c r="J51" s="186">
        <f t="shared" si="0"/>
        <v>0</v>
      </c>
      <c r="K51" s="187"/>
      <c r="L51" s="188" t="str">
        <f t="shared" si="9"/>
        <v>- -</v>
      </c>
      <c r="M51" s="54"/>
      <c r="N51" s="55"/>
      <c r="O51" s="54"/>
      <c r="P51" s="45"/>
      <c r="Q51" s="26"/>
      <c r="R51" s="206" t="str">
        <f t="shared" si="10"/>
        <v>- -</v>
      </c>
      <c r="S51" s="207"/>
      <c r="T51" s="208">
        <f t="shared" si="11"/>
        <v>0</v>
      </c>
      <c r="U51" s="207"/>
      <c r="V51" s="209" t="str">
        <f t="shared" si="12"/>
        <v>- -</v>
      </c>
      <c r="W51" s="207"/>
      <c r="X51" s="209" t="str">
        <f t="shared" si="13"/>
        <v>- -</v>
      </c>
      <c r="Y51" s="210"/>
      <c r="Z51" s="211" t="str">
        <f t="shared" si="14"/>
        <v/>
      </c>
      <c r="AA51" s="205" t="str">
        <f t="shared" si="2"/>
        <v/>
      </c>
      <c r="AB51" s="178"/>
      <c r="AC51" s="62"/>
      <c r="AD51" s="223" t="str">
        <f t="shared" si="3"/>
        <v/>
      </c>
    </row>
    <row r="52" spans="1:30" s="13" customFormat="1" ht="20.100000000000001" customHeight="1" x14ac:dyDescent="0.2">
      <c r="A52" s="167">
        <f t="shared" si="8"/>
        <v>34</v>
      </c>
      <c r="B52" s="168"/>
      <c r="C52" s="170" t="str">
        <f>IF(Vorgaben!C52&lt;&gt;"",Vorgaben!C52,"")</f>
        <v>NN 34</v>
      </c>
      <c r="D52" s="170" t="str">
        <f>IF(Vorgaben!D52&lt;&gt;"",Vorgaben!D52,"")</f>
        <v>VN 34</v>
      </c>
      <c r="E52" s="77"/>
      <c r="F52" s="97"/>
      <c r="G52" s="98"/>
      <c r="H52" s="97"/>
      <c r="I52" s="185"/>
      <c r="J52" s="186">
        <f t="shared" si="0"/>
        <v>0</v>
      </c>
      <c r="K52" s="187"/>
      <c r="L52" s="188" t="str">
        <f t="shared" si="9"/>
        <v>- -</v>
      </c>
      <c r="M52" s="54"/>
      <c r="N52" s="55"/>
      <c r="O52" s="54"/>
      <c r="P52" s="45"/>
      <c r="Q52" s="26"/>
      <c r="R52" s="206" t="str">
        <f t="shared" si="10"/>
        <v>- -</v>
      </c>
      <c r="S52" s="207"/>
      <c r="T52" s="208">
        <f t="shared" si="11"/>
        <v>0</v>
      </c>
      <c r="U52" s="207"/>
      <c r="V52" s="209" t="str">
        <f t="shared" si="12"/>
        <v>- -</v>
      </c>
      <c r="W52" s="207"/>
      <c r="X52" s="209" t="str">
        <f t="shared" si="13"/>
        <v>- -</v>
      </c>
      <c r="Y52" s="210"/>
      <c r="Z52" s="211" t="str">
        <f t="shared" si="14"/>
        <v/>
      </c>
      <c r="AA52" s="205" t="str">
        <f t="shared" si="2"/>
        <v/>
      </c>
      <c r="AB52" s="178"/>
      <c r="AC52" s="62"/>
      <c r="AD52" s="223" t="str">
        <f t="shared" si="3"/>
        <v/>
      </c>
    </row>
    <row r="53" spans="1:30" s="13" customFormat="1" ht="20.100000000000001" customHeight="1" x14ac:dyDescent="0.2">
      <c r="A53" s="167">
        <f t="shared" si="8"/>
        <v>35</v>
      </c>
      <c r="B53" s="168"/>
      <c r="C53" s="170" t="str">
        <f>IF(Vorgaben!C53&lt;&gt;"",Vorgaben!C53,"")</f>
        <v>NN 35</v>
      </c>
      <c r="D53" s="170" t="str">
        <f>IF(Vorgaben!D53&lt;&gt;"",Vorgaben!D53,"")</f>
        <v>VN 35</v>
      </c>
      <c r="E53" s="77"/>
      <c r="F53" s="97"/>
      <c r="G53" s="98"/>
      <c r="H53" s="97"/>
      <c r="I53" s="185"/>
      <c r="J53" s="186">
        <f t="shared" si="0"/>
        <v>0</v>
      </c>
      <c r="K53" s="187"/>
      <c r="L53" s="188" t="str">
        <f t="shared" si="9"/>
        <v>- -</v>
      </c>
      <c r="M53" s="54"/>
      <c r="N53" s="55"/>
      <c r="O53" s="54"/>
      <c r="P53" s="45"/>
      <c r="Q53" s="26"/>
      <c r="R53" s="206" t="str">
        <f t="shared" si="10"/>
        <v>- -</v>
      </c>
      <c r="S53" s="207"/>
      <c r="T53" s="208">
        <f t="shared" si="11"/>
        <v>0</v>
      </c>
      <c r="U53" s="207"/>
      <c r="V53" s="209" t="str">
        <f t="shared" si="12"/>
        <v>- -</v>
      </c>
      <c r="W53" s="207"/>
      <c r="X53" s="209" t="str">
        <f t="shared" si="13"/>
        <v>- -</v>
      </c>
      <c r="Y53" s="210"/>
      <c r="Z53" s="211" t="str">
        <f t="shared" si="14"/>
        <v/>
      </c>
      <c r="AA53" s="205" t="str">
        <f t="shared" si="2"/>
        <v/>
      </c>
      <c r="AB53" s="178"/>
      <c r="AC53" s="62"/>
      <c r="AD53" s="223" t="str">
        <f t="shared" si="3"/>
        <v/>
      </c>
    </row>
    <row r="54" spans="1:30" s="13" customFormat="1" ht="20.100000000000001" customHeight="1" thickBot="1" x14ac:dyDescent="0.25">
      <c r="A54" s="167">
        <f t="shared" si="8"/>
        <v>36</v>
      </c>
      <c r="B54" s="168"/>
      <c r="C54" s="170" t="str">
        <f>IF(Vorgaben!C54&lt;&gt;"",Vorgaben!C54,"")</f>
        <v>NN 36</v>
      </c>
      <c r="D54" s="170" t="str">
        <f>IF(Vorgaben!D54&lt;&gt;"",Vorgaben!D54,"")</f>
        <v>VN 36</v>
      </c>
      <c r="E54" s="77"/>
      <c r="F54" s="97"/>
      <c r="G54" s="98"/>
      <c r="H54" s="97"/>
      <c r="I54" s="185"/>
      <c r="J54" s="186">
        <f t="shared" si="0"/>
        <v>0</v>
      </c>
      <c r="K54" s="187"/>
      <c r="L54" s="188" t="str">
        <f t="shared" si="9"/>
        <v>- -</v>
      </c>
      <c r="M54" s="54"/>
      <c r="N54" s="55"/>
      <c r="O54" s="54"/>
      <c r="P54" s="45"/>
      <c r="Q54" s="26"/>
      <c r="R54" s="206" t="str">
        <f t="shared" si="10"/>
        <v>- -</v>
      </c>
      <c r="S54" s="207"/>
      <c r="T54" s="208">
        <f t="shared" si="11"/>
        <v>0</v>
      </c>
      <c r="U54" s="207"/>
      <c r="V54" s="209" t="str">
        <f t="shared" si="12"/>
        <v>- -</v>
      </c>
      <c r="W54" s="207"/>
      <c r="X54" s="209" t="str">
        <f t="shared" si="13"/>
        <v>- -</v>
      </c>
      <c r="Y54" s="210"/>
      <c r="Z54" s="211" t="str">
        <f t="shared" si="14"/>
        <v/>
      </c>
      <c r="AA54" s="205" t="str">
        <f t="shared" si="2"/>
        <v/>
      </c>
      <c r="AB54" s="178"/>
      <c r="AC54" s="62"/>
      <c r="AD54" s="223" t="str">
        <f t="shared" si="3"/>
        <v/>
      </c>
    </row>
    <row r="55" spans="1:30" s="13" customFormat="1" ht="18" customHeight="1" thickTop="1" x14ac:dyDescent="0.2">
      <c r="A55" s="167"/>
      <c r="B55" s="168"/>
      <c r="C55" s="172"/>
      <c r="D55" s="172" t="s">
        <v>48</v>
      </c>
      <c r="E55" s="75"/>
      <c r="F55" s="41" t="str">
        <f>IF(ISERR(SUM(F$19:F$54)/COUNT(F$19:F$54)),"",SUM(F$19:F$54)/COUNT(F$19:F$54))</f>
        <v/>
      </c>
      <c r="G55" s="40"/>
      <c r="H55" s="41" t="str">
        <f>IF(ISERR(SUM(H$19:H$54)/COUNT(H$19:H$54)),"",SUM(H$19:H$54)/COUNT(H$19:H$54))</f>
        <v/>
      </c>
      <c r="I55" s="189"/>
      <c r="J55" s="190"/>
      <c r="K55" s="191"/>
      <c r="L55" s="192"/>
      <c r="M55" s="29"/>
      <c r="N55" s="30"/>
      <c r="O55" s="29"/>
      <c r="P55" s="46"/>
      <c r="Q55" s="31"/>
      <c r="R55" s="190"/>
      <c r="S55" s="212"/>
      <c r="T55" s="190"/>
      <c r="U55" s="212"/>
      <c r="V55" s="190"/>
      <c r="W55" s="212"/>
      <c r="X55" s="192"/>
      <c r="Y55" s="213"/>
      <c r="Z55" s="214" t="str">
        <f>IF(ISERR(SUM($AA$19:$AA$54)/COUNT($AA$19:$AA$54)),"",SUM($AA$19:$AA$54)/COUNT($AA$19:$AA$54))</f>
        <v/>
      </c>
      <c r="AA55" s="215"/>
      <c r="AB55" s="178"/>
      <c r="AD55" s="63"/>
    </row>
    <row r="56" spans="1:30" s="13" customFormat="1" ht="18" customHeight="1" thickBot="1" x14ac:dyDescent="0.25">
      <c r="A56" s="167"/>
      <c r="B56" s="168"/>
      <c r="C56" s="173"/>
      <c r="D56" s="173"/>
      <c r="E56" s="78"/>
      <c r="F56" s="42"/>
      <c r="G56" s="32"/>
      <c r="H56" s="42"/>
      <c r="I56" s="193"/>
      <c r="J56" s="193"/>
      <c r="K56" s="194"/>
      <c r="L56" s="193"/>
      <c r="M56" s="35"/>
      <c r="N56" s="32"/>
      <c r="O56" s="35"/>
      <c r="P56" s="47"/>
      <c r="Q56" s="36"/>
      <c r="R56" s="216"/>
      <c r="S56" s="217"/>
      <c r="T56" s="193"/>
      <c r="U56" s="217"/>
      <c r="V56" s="193"/>
      <c r="W56" s="217"/>
      <c r="X56" s="193"/>
      <c r="Y56" s="218"/>
      <c r="Z56" s="193"/>
      <c r="AA56" s="215"/>
      <c r="AB56" s="178"/>
      <c r="AD56" s="63"/>
    </row>
    <row r="57" spans="1:30" s="13" customFormat="1" ht="13.5" thickTop="1" x14ac:dyDescent="0.2">
      <c r="A57" s="174"/>
      <c r="B57" s="154"/>
      <c r="C57" s="175" t="s">
        <v>265</v>
      </c>
      <c r="D57" s="175"/>
      <c r="E57" s="101"/>
      <c r="F57" s="102"/>
      <c r="G57" s="102"/>
      <c r="H57" s="102"/>
      <c r="I57" s="195"/>
      <c r="J57" s="195"/>
      <c r="K57" s="196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16"/>
      <c r="AB57" s="16"/>
      <c r="AD57" s="63"/>
    </row>
    <row r="58" spans="1:30" s="13" customFormat="1" x14ac:dyDescent="0.2">
      <c r="A58" s="174"/>
      <c r="B58" s="154"/>
      <c r="C58" s="176" t="s">
        <v>266</v>
      </c>
      <c r="D58" s="176"/>
      <c r="E58" s="53"/>
      <c r="F58" s="53"/>
      <c r="G58" s="53"/>
      <c r="H58" s="53"/>
      <c r="I58" s="176"/>
      <c r="J58" s="176"/>
      <c r="K58" s="178"/>
      <c r="L58" s="16"/>
      <c r="M58" s="16"/>
      <c r="N58" s="57" t="s">
        <v>92</v>
      </c>
      <c r="O58" s="57"/>
      <c r="P58" s="57"/>
      <c r="Q58" s="57"/>
      <c r="R58" s="57"/>
      <c r="S58" s="57"/>
      <c r="T58" s="57"/>
      <c r="U58" s="57"/>
      <c r="V58" s="16"/>
      <c r="W58" s="16"/>
      <c r="X58" s="16"/>
      <c r="Y58" s="16"/>
      <c r="Z58" s="16"/>
      <c r="AA58" s="16"/>
      <c r="AB58" s="16"/>
      <c r="AD58" s="63"/>
    </row>
    <row r="59" spans="1:30" s="13" customFormat="1" x14ac:dyDescent="0.2">
      <c r="A59" s="174"/>
      <c r="B59" s="154"/>
      <c r="C59" s="177" t="s">
        <v>267</v>
      </c>
      <c r="D59" s="178"/>
      <c r="E59" s="16"/>
      <c r="F59" s="16"/>
      <c r="G59" s="16"/>
      <c r="H59" s="16"/>
      <c r="I59" s="178"/>
      <c r="J59" s="178"/>
      <c r="K59" s="178"/>
      <c r="L59" s="16"/>
      <c r="M59" s="16"/>
      <c r="N59" s="57" t="s">
        <v>86</v>
      </c>
      <c r="O59" s="57"/>
      <c r="P59" s="57"/>
      <c r="Q59" s="57"/>
      <c r="R59" s="60"/>
      <c r="S59" s="16"/>
      <c r="T59" s="16"/>
      <c r="U59" s="16"/>
      <c r="V59" s="16"/>
      <c r="W59" s="16"/>
      <c r="X59" s="16"/>
      <c r="Y59" s="16"/>
      <c r="Z59" s="16"/>
      <c r="AA59" s="16"/>
      <c r="AB59" s="16"/>
      <c r="AD59" s="63"/>
    </row>
    <row r="60" spans="1:30" s="13" customFormat="1" x14ac:dyDescent="0.2">
      <c r="A60" s="174"/>
      <c r="B60" s="154"/>
      <c r="C60" s="178" t="s">
        <v>264</v>
      </c>
      <c r="D60" s="178"/>
      <c r="E60" s="16"/>
      <c r="F60" s="16"/>
      <c r="G60" s="16"/>
      <c r="H60" s="16"/>
      <c r="I60" s="178"/>
      <c r="J60" s="178"/>
      <c r="K60" s="178"/>
      <c r="L60" s="58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D60" s="63"/>
    </row>
    <row r="61" spans="1:30" s="13" customFormat="1" x14ac:dyDescent="0.2">
      <c r="A61" s="174"/>
      <c r="B61" s="154"/>
      <c r="C61" s="176" t="s">
        <v>270</v>
      </c>
      <c r="D61" s="176"/>
      <c r="E61" s="53"/>
      <c r="F61" s="53"/>
      <c r="G61" s="53"/>
      <c r="H61" s="53"/>
      <c r="I61" s="176"/>
      <c r="J61" s="176"/>
      <c r="K61" s="178"/>
      <c r="L61" s="58" t="s">
        <v>353</v>
      </c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D61" s="63"/>
    </row>
    <row r="62" spans="1:30" s="13" customFormat="1" x14ac:dyDescent="0.2">
      <c r="A62" s="174"/>
      <c r="B62" s="154"/>
      <c r="C62" s="178"/>
      <c r="D62" s="178"/>
      <c r="E62" s="16"/>
      <c r="F62" s="16"/>
      <c r="G62" s="16"/>
      <c r="H62" s="16"/>
      <c r="I62" s="178"/>
      <c r="J62" s="178"/>
      <c r="K62" s="178"/>
      <c r="L62" s="58" t="s">
        <v>352</v>
      </c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D62" s="63"/>
    </row>
    <row r="63" spans="1:30" s="13" customFormat="1" x14ac:dyDescent="0.2">
      <c r="A63" s="174"/>
      <c r="B63" s="154"/>
      <c r="C63" s="178"/>
      <c r="D63" s="178"/>
      <c r="E63" s="16"/>
      <c r="F63" s="16"/>
      <c r="G63" s="16"/>
      <c r="H63" s="16"/>
      <c r="I63" s="154"/>
      <c r="J63" s="154"/>
      <c r="K63" s="154"/>
      <c r="P63" s="59" t="s">
        <v>215</v>
      </c>
      <c r="AD63" s="63"/>
    </row>
    <row r="64" spans="1:30" s="13" customFormat="1" x14ac:dyDescent="0.2">
      <c r="A64" s="174"/>
      <c r="B64" s="154"/>
      <c r="C64" s="154"/>
      <c r="D64" s="154"/>
      <c r="I64" s="154"/>
      <c r="J64" s="154"/>
      <c r="K64" s="154"/>
      <c r="R64" s="59" t="s">
        <v>91</v>
      </c>
      <c r="AD64" s="63"/>
    </row>
    <row r="65" spans="1:30" s="13" customFormat="1" x14ac:dyDescent="0.2">
      <c r="A65" s="174"/>
      <c r="B65" s="154"/>
      <c r="C65" s="179" t="s">
        <v>251</v>
      </c>
      <c r="D65" s="180"/>
      <c r="E65" s="95"/>
      <c r="F65" s="95"/>
      <c r="G65" s="95"/>
      <c r="H65" s="95"/>
      <c r="I65" s="180"/>
      <c r="J65" s="180"/>
      <c r="K65" s="154"/>
      <c r="R65" s="67"/>
      <c r="S65" s="67"/>
      <c r="T65" s="67"/>
      <c r="U65" s="67"/>
      <c r="V65" s="67"/>
      <c r="W65" s="67"/>
      <c r="X65" s="67"/>
      <c r="Y65" s="67"/>
      <c r="Z65" s="68" t="s">
        <v>127</v>
      </c>
      <c r="AD65" s="63"/>
    </row>
    <row r="66" spans="1:30" s="13" customFormat="1" x14ac:dyDescent="0.2">
      <c r="A66" s="174"/>
      <c r="B66" s="154"/>
      <c r="C66" s="154"/>
      <c r="D66" s="154"/>
      <c r="I66" s="154"/>
      <c r="J66" s="154"/>
      <c r="K66" s="154"/>
      <c r="L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D66" s="63"/>
    </row>
    <row r="67" spans="1:30" s="13" customFormat="1" x14ac:dyDescent="0.2">
      <c r="A67" s="37"/>
      <c r="AD67" s="63"/>
    </row>
    <row r="68" spans="1:30" s="13" customFormat="1" x14ac:dyDescent="0.2">
      <c r="AD68" s="63"/>
    </row>
    <row r="69" spans="1:30" s="13" customFormat="1" x14ac:dyDescent="0.2">
      <c r="AD69" s="63"/>
    </row>
    <row r="70" spans="1:30" s="13" customFormat="1" x14ac:dyDescent="0.2">
      <c r="AD70" s="63"/>
    </row>
    <row r="71" spans="1:30" s="13" customFormat="1" x14ac:dyDescent="0.2">
      <c r="AD71" s="63"/>
    </row>
    <row r="72" spans="1:30" s="13" customFormat="1" x14ac:dyDescent="0.2">
      <c r="AD72" s="63"/>
    </row>
    <row r="73" spans="1:30" s="13" customFormat="1" x14ac:dyDescent="0.2">
      <c r="AD73" s="63"/>
    </row>
    <row r="74" spans="1:30" s="13" customFormat="1" x14ac:dyDescent="0.2">
      <c r="AD74" s="63"/>
    </row>
    <row r="75" spans="1:30" s="13" customFormat="1" x14ac:dyDescent="0.2">
      <c r="AD75" s="63"/>
    </row>
    <row r="76" spans="1:30" s="13" customFormat="1" x14ac:dyDescent="0.2">
      <c r="AD76" s="63"/>
    </row>
    <row r="77" spans="1:30" s="13" customFormat="1" x14ac:dyDescent="0.2">
      <c r="AD77" s="63"/>
    </row>
    <row r="78" spans="1:30" s="13" customFormat="1" x14ac:dyDescent="0.2">
      <c r="AD78" s="63"/>
    </row>
    <row r="79" spans="1:30" s="13" customFormat="1" x14ac:dyDescent="0.2">
      <c r="AD79" s="63"/>
    </row>
    <row r="80" spans="1:30" s="13" customFormat="1" x14ac:dyDescent="0.2">
      <c r="AD80" s="63"/>
    </row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pans="3:8" s="13" customFormat="1" x14ac:dyDescent="0.2"/>
    <row r="146" spans="3:8" s="13" customFormat="1" x14ac:dyDescent="0.2"/>
    <row r="147" spans="3:8" s="13" customFormat="1" x14ac:dyDescent="0.2"/>
    <row r="148" spans="3:8" s="13" customFormat="1" x14ac:dyDescent="0.2"/>
    <row r="149" spans="3:8" s="13" customFormat="1" x14ac:dyDescent="0.2"/>
    <row r="150" spans="3:8" s="13" customFormat="1" x14ac:dyDescent="0.2"/>
    <row r="151" spans="3:8" s="13" customFormat="1" x14ac:dyDescent="0.2"/>
    <row r="152" spans="3:8" s="13" customFormat="1" x14ac:dyDescent="0.2"/>
    <row r="153" spans="3:8" s="13" customFormat="1" x14ac:dyDescent="0.2"/>
    <row r="154" spans="3:8" x14ac:dyDescent="0.2">
      <c r="C154" s="13"/>
      <c r="D154" s="13"/>
      <c r="E154" s="13"/>
      <c r="F154" s="13"/>
      <c r="G154" s="13"/>
      <c r="H154" s="13"/>
    </row>
  </sheetData>
  <sheetProtection sheet="1"/>
  <mergeCells count="6">
    <mergeCell ref="AC14:AC15"/>
    <mergeCell ref="K17:P17"/>
    <mergeCell ref="F14:F15"/>
    <mergeCell ref="H14:H15"/>
    <mergeCell ref="N14:N15"/>
    <mergeCell ref="P14:P15"/>
  </mergeCells>
  <phoneticPr fontId="10" type="noConversion"/>
  <conditionalFormatting sqref="P19:P54">
    <cfRule type="expression" dxfId="90" priority="1" stopIfTrue="1">
      <formula>AND($N19="j",P19="")</formula>
    </cfRule>
    <cfRule type="expression" dxfId="89" priority="2" stopIfTrue="1">
      <formula>AND($L19="x",P19="")</formula>
    </cfRule>
  </conditionalFormatting>
  <conditionalFormatting sqref="V19:V54">
    <cfRule type="cellIs" dxfId="88" priority="3" stopIfTrue="1" operator="equal">
      <formula>"f"</formula>
    </cfRule>
  </conditionalFormatting>
  <conditionalFormatting sqref="AD19:AD54">
    <cfRule type="cellIs" dxfId="87" priority="4" stopIfTrue="1" operator="equal">
      <formula>"fehlende Zensur"</formula>
    </cfRule>
    <cfRule type="cellIs" dxfId="86" priority="5" stopIfTrue="1" operator="equal">
      <formula>"falsche Zensur"</formula>
    </cfRule>
  </conditionalFormatting>
  <conditionalFormatting sqref="H19:H54 F19:F54">
    <cfRule type="expression" dxfId="85" priority="6" stopIfTrue="1">
      <formula>IF($C19&lt;&gt;"",IF(F19="",TRUE,FALSE))</formula>
    </cfRule>
    <cfRule type="expression" dxfId="84" priority="7" stopIfTrue="1">
      <formula>IF(AND($C19&lt;&gt;"",OR(F19&lt;1,F19&gt;6)),TRUE,FALSE)</formula>
    </cfRule>
    <cfRule type="expression" dxfId="83" priority="8" stopIfTrue="1">
      <formula>IF($C19="",IF(F19&lt;&gt;"",TRUE,FALSE))</formula>
    </cfRule>
  </conditionalFormatting>
  <conditionalFormatting sqref="J19:J54">
    <cfRule type="expression" dxfId="82" priority="9" stopIfTrue="1">
      <formula>IF(AND(J19=1,$AC19=""),TRUE,FALSE)</formula>
    </cfRule>
    <cfRule type="expression" dxfId="81" priority="10" stopIfTrue="1">
      <formula>IF(AND(J19=2,$N19&lt;&gt;"n",(OR($N19="",$P19=""))),TRUE,FALSE)</formula>
    </cfRule>
    <cfRule type="expression" dxfId="80" priority="11" stopIfTrue="1">
      <formula>IF(AND($C19&lt;&gt;"",J19&gt;2,$P19=""),TRUE,FALSE)</formula>
    </cfRule>
  </conditionalFormatting>
  <conditionalFormatting sqref="AC19:AC54">
    <cfRule type="expression" dxfId="79" priority="12" stopIfTrue="1">
      <formula>IF(AND($J19=1,AC19=""),TRUE,FALSE)</formula>
    </cfRule>
    <cfRule type="expression" dxfId="78" priority="13" stopIfTrue="1">
      <formula>IF($AD19="falsche Zensur",TRUE,FALSE)</formula>
    </cfRule>
    <cfRule type="expression" dxfId="77" priority="14" stopIfTrue="1">
      <formula>IF(AND($J19&lt;&gt;1,AC19&lt;&gt;""),TRUE,FALSE)</formula>
    </cfRule>
  </conditionalFormatting>
  <conditionalFormatting sqref="N19:N54">
    <cfRule type="expression" dxfId="76" priority="15" stopIfTrue="1">
      <formula>AND($L19="frw. ?",N19="")</formula>
    </cfRule>
  </conditionalFormatting>
  <printOptions gridLinesSet="0"/>
  <pageMargins left="0.59055118110236227" right="0" top="0.59055118110236227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autoPageBreaks="0"/>
  </sheetPr>
  <dimension ref="A1:DQ153"/>
  <sheetViews>
    <sheetView showGridLines="0" workbookViewId="0">
      <selection activeCell="H19" sqref="H19"/>
    </sheetView>
  </sheetViews>
  <sheetFormatPr baseColWidth="10" defaultColWidth="10.7109375" defaultRowHeight="12.75" x14ac:dyDescent="0.2"/>
  <cols>
    <col min="1" max="1" width="3.7109375" style="9" customWidth="1"/>
    <col min="2" max="2" width="1.7109375" style="9" customWidth="1"/>
    <col min="3" max="3" width="14.5703125" style="9" customWidth="1"/>
    <col min="4" max="4" width="16.140625" style="9" customWidth="1"/>
    <col min="5" max="6" width="4.7109375" style="9" customWidth="1"/>
    <col min="7" max="7" width="2.7109375" style="9" customWidth="1"/>
    <col min="8" max="8" width="4.7109375" style="9" customWidth="1"/>
    <col min="9" max="9" width="1.7109375" style="9" customWidth="1"/>
    <col min="10" max="10" width="3.7109375" style="9" customWidth="1"/>
    <col min="11" max="11" width="1.7109375" style="9" customWidth="1"/>
    <col min="12" max="12" width="5.7109375" style="9" customWidth="1"/>
    <col min="13" max="13" width="1.7109375" style="9" customWidth="1"/>
    <col min="14" max="14" width="4.7109375" style="9" customWidth="1"/>
    <col min="15" max="15" width="1.7109375" style="9" customWidth="1"/>
    <col min="16" max="16" width="3.7109375" style="9" customWidth="1"/>
    <col min="17" max="17" width="1.7109375" style="9" customWidth="1"/>
    <col min="18" max="18" width="3.7109375" style="9" customWidth="1"/>
    <col min="19" max="19" width="1.7109375" style="9" customWidth="1"/>
    <col min="20" max="20" width="3.7109375" style="9" customWidth="1"/>
    <col min="21" max="21" width="1.7109375" style="9" customWidth="1"/>
    <col min="22" max="22" width="3.7109375" style="9" customWidth="1"/>
    <col min="23" max="23" width="1.7109375" style="9" customWidth="1"/>
    <col min="24" max="24" width="3.7109375" style="9" customWidth="1"/>
    <col min="25" max="25" width="1.7109375" style="9" customWidth="1"/>
    <col min="26" max="27" width="3.7109375" style="9" customWidth="1"/>
    <col min="28" max="28" width="10.7109375" style="9"/>
    <col min="29" max="29" width="5.42578125" style="9" customWidth="1"/>
    <col min="30" max="30" width="14.5703125" style="9" customWidth="1"/>
    <col min="31" max="16384" width="10.7109375" style="9"/>
  </cols>
  <sheetData>
    <row r="1" spans="1:121" ht="15" x14ac:dyDescent="0.25">
      <c r="A1" s="226"/>
      <c r="B1" s="226"/>
      <c r="C1" s="224" t="s">
        <v>254</v>
      </c>
      <c r="D1" s="225" t="s">
        <v>406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1"/>
      <c r="X1" s="141"/>
      <c r="Y1" s="141"/>
      <c r="Z1" s="141"/>
      <c r="AA1" s="141"/>
      <c r="AB1" s="141"/>
      <c r="AC1" s="141"/>
      <c r="AD1" s="141"/>
      <c r="AE1" s="141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</row>
    <row r="2" spans="1:121" x14ac:dyDescent="0.2">
      <c r="A2" s="264"/>
      <c r="B2" s="226"/>
      <c r="C2" s="226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1"/>
      <c r="X2" s="141"/>
      <c r="Y2" s="141"/>
      <c r="Z2" s="141"/>
      <c r="AA2" s="141"/>
      <c r="AB2" s="141"/>
      <c r="AC2" s="141"/>
      <c r="AD2" s="141"/>
      <c r="AE2" s="141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</row>
    <row r="3" spans="1:121" x14ac:dyDescent="0.2">
      <c r="A3" s="264"/>
      <c r="B3" s="226"/>
      <c r="C3" s="134" t="str">
        <f>Vorgaben!$I$13</f>
        <v>Englisch</v>
      </c>
      <c r="D3" s="227"/>
      <c r="E3" s="227" t="s">
        <v>278</v>
      </c>
      <c r="F3" s="227"/>
      <c r="G3" s="227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1"/>
      <c r="X3" s="141"/>
      <c r="Y3" s="141"/>
      <c r="Z3" s="141"/>
      <c r="AA3" s="141"/>
      <c r="AB3" s="141"/>
      <c r="AC3" s="141"/>
      <c r="AD3" s="228"/>
      <c r="AE3" s="141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</row>
    <row r="4" spans="1:121" x14ac:dyDescent="0.2">
      <c r="A4" s="141"/>
      <c r="B4" s="141"/>
      <c r="C4" s="141"/>
      <c r="D4" s="148"/>
      <c r="E4" s="227" t="str">
        <f>IF(Vorgaben!$K$13="","","  ( "&amp;Vorgaben!$K$13&amp;" )")</f>
        <v xml:space="preserve">  ( N E )</v>
      </c>
      <c r="F4" s="227"/>
      <c r="G4" s="227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1"/>
      <c r="X4" s="141"/>
      <c r="Y4" s="141"/>
      <c r="Z4" s="141"/>
      <c r="AA4" s="141"/>
      <c r="AB4" s="141"/>
      <c r="AC4" s="141"/>
      <c r="AD4" s="228"/>
      <c r="AE4" s="141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</row>
    <row r="5" spans="1:121" x14ac:dyDescent="0.2">
      <c r="A5" s="141"/>
      <c r="B5" s="141"/>
      <c r="C5" s="141"/>
      <c r="D5" s="141"/>
      <c r="E5" s="566" t="s">
        <v>90</v>
      </c>
      <c r="F5" s="552" t="s">
        <v>256</v>
      </c>
      <c r="G5" s="227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134"/>
      <c r="X5" s="134"/>
      <c r="Y5" s="134"/>
      <c r="Z5" s="134"/>
      <c r="AA5" s="141"/>
      <c r="AB5" s="141"/>
      <c r="AC5" s="141"/>
      <c r="AD5" s="228"/>
      <c r="AE5" s="141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</row>
    <row r="6" spans="1:121" x14ac:dyDescent="0.2">
      <c r="A6" s="141"/>
      <c r="B6" s="141"/>
      <c r="C6" s="141"/>
      <c r="D6" s="141"/>
      <c r="E6" s="567"/>
      <c r="F6" s="552" t="s">
        <v>262</v>
      </c>
      <c r="G6" s="227"/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134"/>
      <c r="X6" s="134"/>
      <c r="Y6" s="134"/>
      <c r="Z6" s="134"/>
      <c r="AA6" s="141"/>
      <c r="AB6" s="141"/>
      <c r="AC6" s="141"/>
      <c r="AD6" s="228"/>
      <c r="AE6" s="141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</row>
    <row r="7" spans="1:121" x14ac:dyDescent="0.2">
      <c r="A7" s="141"/>
      <c r="B7" s="141"/>
      <c r="C7" s="134" t="s">
        <v>213</v>
      </c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141"/>
      <c r="Z7" s="141"/>
      <c r="AA7" s="141"/>
      <c r="AB7" s="141"/>
      <c r="AC7" s="141"/>
      <c r="AD7" s="228"/>
      <c r="AE7" s="141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</row>
    <row r="8" spans="1:121" x14ac:dyDescent="0.2">
      <c r="A8" s="141"/>
      <c r="B8" s="141"/>
      <c r="C8" s="134" t="s">
        <v>214</v>
      </c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141"/>
      <c r="Z8" s="141"/>
      <c r="AA8" s="141"/>
      <c r="AB8" s="141"/>
      <c r="AC8" s="141"/>
      <c r="AD8" s="228"/>
      <c r="AE8" s="141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</row>
    <row r="9" spans="1:121" x14ac:dyDescent="0.2">
      <c r="A9" s="141"/>
      <c r="B9" s="141"/>
      <c r="C9" s="141" t="s">
        <v>212</v>
      </c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228"/>
      <c r="AE9" s="141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</row>
    <row r="10" spans="1:121" x14ac:dyDescent="0.2">
      <c r="A10" s="141"/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229" t="s">
        <v>166</v>
      </c>
      <c r="AD10" s="230"/>
      <c r="AE10" s="231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</row>
    <row r="11" spans="1:121" x14ac:dyDescent="0.2">
      <c r="A11" s="141"/>
      <c r="B11" s="141"/>
      <c r="C11" s="141" t="s">
        <v>348</v>
      </c>
      <c r="D11" s="232"/>
      <c r="E11" s="148"/>
      <c r="F11" s="148"/>
      <c r="G11" s="148"/>
      <c r="H11" s="232"/>
      <c r="I11" s="232"/>
      <c r="J11" s="232"/>
      <c r="K11" s="232"/>
      <c r="L11" s="232"/>
      <c r="M11" s="232"/>
      <c r="N11" s="232"/>
      <c r="O11" s="232"/>
      <c r="P11" s="232"/>
      <c r="Q11" s="148"/>
      <c r="R11" s="148"/>
      <c r="S11" s="148"/>
      <c r="T11" s="148"/>
      <c r="U11" s="148"/>
      <c r="V11" s="148"/>
      <c r="W11" s="148"/>
      <c r="X11" s="141"/>
      <c r="Y11" s="141"/>
      <c r="Z11" s="141"/>
      <c r="AA11" s="141"/>
      <c r="AB11" s="141"/>
      <c r="AC11" s="231" t="s">
        <v>122</v>
      </c>
      <c r="AD11" s="230"/>
      <c r="AE11" s="231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</row>
    <row r="12" spans="1:121" x14ac:dyDescent="0.2">
      <c r="A12" s="141"/>
      <c r="B12" s="141"/>
      <c r="C12" s="148"/>
      <c r="D12" s="148"/>
      <c r="E12" s="148"/>
      <c r="F12" s="148"/>
      <c r="G12" s="148"/>
      <c r="H12" s="148"/>
      <c r="I12" s="148"/>
      <c r="J12" s="148"/>
      <c r="K12" s="148"/>
      <c r="L12" s="233" t="s">
        <v>349</v>
      </c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4"/>
      <c r="Y12" s="234"/>
      <c r="Z12" s="234"/>
      <c r="AA12" s="141"/>
      <c r="AB12" s="141"/>
      <c r="AC12" s="176" t="s">
        <v>123</v>
      </c>
      <c r="AD12" s="230"/>
      <c r="AE12" s="231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</row>
    <row r="13" spans="1:121" x14ac:dyDescent="0.2">
      <c r="A13" s="141"/>
      <c r="B13" s="141"/>
      <c r="C13" s="148"/>
      <c r="D13" s="148"/>
      <c r="E13" s="148"/>
      <c r="F13" s="148" t="s">
        <v>165</v>
      </c>
      <c r="G13" s="148"/>
      <c r="H13" s="148"/>
      <c r="I13" s="148"/>
      <c r="J13" s="148"/>
      <c r="K13" s="148"/>
      <c r="L13" s="148"/>
      <c r="M13" s="148" t="s">
        <v>350</v>
      </c>
      <c r="N13" s="140"/>
      <c r="O13" s="148"/>
      <c r="P13" s="148"/>
      <c r="Q13" s="148"/>
      <c r="R13" s="148"/>
      <c r="S13" s="148"/>
      <c r="T13" s="148"/>
      <c r="U13" s="148"/>
      <c r="V13" s="148"/>
      <c r="W13" s="148"/>
      <c r="X13" s="141"/>
      <c r="Y13" s="141"/>
      <c r="Z13" s="141"/>
      <c r="AA13" s="141"/>
      <c r="AB13" s="141"/>
      <c r="AC13" s="176" t="s">
        <v>125</v>
      </c>
      <c r="AD13" s="230"/>
      <c r="AE13" s="231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</row>
    <row r="14" spans="1:121" ht="12.75" customHeight="1" x14ac:dyDescent="0.2">
      <c r="A14" s="141"/>
      <c r="B14" s="141"/>
      <c r="C14" s="148"/>
      <c r="D14" s="148"/>
      <c r="E14" s="141"/>
      <c r="F14" s="560" t="s">
        <v>90</v>
      </c>
      <c r="G14" s="141"/>
      <c r="H14" s="560" t="s">
        <v>90</v>
      </c>
      <c r="I14" s="141"/>
      <c r="J14" s="141"/>
      <c r="K14" s="141"/>
      <c r="L14" s="141"/>
      <c r="M14" s="141"/>
      <c r="N14" s="562" t="s">
        <v>90</v>
      </c>
      <c r="O14" s="141"/>
      <c r="P14" s="564" t="s">
        <v>90</v>
      </c>
      <c r="Q14" s="141"/>
      <c r="R14" s="148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555" t="s">
        <v>90</v>
      </c>
      <c r="AD14" s="228"/>
      <c r="AE14" s="141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</row>
    <row r="15" spans="1:121" x14ac:dyDescent="0.2">
      <c r="A15" s="141"/>
      <c r="B15" s="141"/>
      <c r="C15" s="148"/>
      <c r="D15" s="148"/>
      <c r="E15" s="141"/>
      <c r="F15" s="561"/>
      <c r="G15" s="141"/>
      <c r="H15" s="561"/>
      <c r="I15" s="141"/>
      <c r="J15" s="141"/>
      <c r="K15" s="141"/>
      <c r="L15" s="141"/>
      <c r="M15" s="141"/>
      <c r="N15" s="563"/>
      <c r="O15" s="141"/>
      <c r="P15" s="565"/>
      <c r="Q15" s="141"/>
      <c r="R15" s="148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556"/>
      <c r="AD15" s="228"/>
      <c r="AE15" s="141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</row>
    <row r="16" spans="1:121" s="13" customFormat="1" ht="20.100000000000001" customHeight="1" thickBot="1" x14ac:dyDescent="0.25">
      <c r="A16" s="163"/>
      <c r="B16" s="164"/>
      <c r="C16" s="235" t="str">
        <f>Vorgaben!$G$5</f>
        <v>10a  (20/)</v>
      </c>
      <c r="D16" s="235"/>
      <c r="E16" s="236" t="str">
        <f>"Zentrale Prüfung 10 in "&amp;$C$3&amp;$E$4</f>
        <v>Zentrale Prüfung 10 in Englisch  ( N E )</v>
      </c>
      <c r="F16" s="237"/>
      <c r="G16" s="235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8"/>
      <c r="AA16" s="238"/>
      <c r="AB16" s="238"/>
      <c r="AC16" s="239"/>
      <c r="AD16" s="240"/>
      <c r="AE16" s="154"/>
    </row>
    <row r="17" spans="1:31" s="13" customFormat="1" ht="18" customHeight="1" thickTop="1" x14ac:dyDescent="0.2">
      <c r="A17" s="160"/>
      <c r="B17" s="161"/>
      <c r="C17" s="162">
        <f ca="1">NOW()</f>
        <v>43536.408713773148</v>
      </c>
      <c r="D17" s="162"/>
      <c r="E17" s="241"/>
      <c r="F17" s="242" t="s">
        <v>246</v>
      </c>
      <c r="G17" s="243" t="s">
        <v>87</v>
      </c>
      <c r="H17" s="244"/>
      <c r="I17" s="243" t="s">
        <v>11</v>
      </c>
      <c r="J17" s="243"/>
      <c r="K17" s="557" t="s">
        <v>58</v>
      </c>
      <c r="L17" s="558"/>
      <c r="M17" s="558"/>
      <c r="N17" s="558"/>
      <c r="O17" s="558"/>
      <c r="P17" s="559"/>
      <c r="Q17" s="245"/>
      <c r="R17" s="243"/>
      <c r="S17" s="246" t="s">
        <v>163</v>
      </c>
      <c r="T17" s="243"/>
      <c r="U17" s="243"/>
      <c r="V17" s="243"/>
      <c r="W17" s="243"/>
      <c r="X17" s="243"/>
      <c r="Y17" s="247"/>
      <c r="Z17" s="248" t="s">
        <v>126</v>
      </c>
      <c r="AA17" s="249"/>
      <c r="AB17" s="238"/>
      <c r="AC17" s="239"/>
      <c r="AD17" s="240"/>
      <c r="AE17" s="154"/>
    </row>
    <row r="18" spans="1:31" s="13" customFormat="1" ht="18" customHeight="1" thickBot="1" x14ac:dyDescent="0.25">
      <c r="A18" s="163"/>
      <c r="B18" s="164"/>
      <c r="C18" s="165" t="s">
        <v>56</v>
      </c>
      <c r="D18" s="166" t="s">
        <v>57</v>
      </c>
      <c r="E18" s="250"/>
      <c r="F18" s="251" t="s">
        <v>12</v>
      </c>
      <c r="G18" s="252" t="s">
        <v>88</v>
      </c>
      <c r="H18" s="253"/>
      <c r="I18" s="252" t="s">
        <v>128</v>
      </c>
      <c r="J18" s="254"/>
      <c r="K18" s="255"/>
      <c r="L18" s="256" t="s">
        <v>51</v>
      </c>
      <c r="M18" s="257" t="s">
        <v>52</v>
      </c>
      <c r="N18" s="252"/>
      <c r="O18" s="257" t="s">
        <v>53</v>
      </c>
      <c r="P18" s="252"/>
      <c r="Q18" s="258" t="s">
        <v>164</v>
      </c>
      <c r="R18" s="254"/>
      <c r="S18" s="259"/>
      <c r="T18" s="260">
        <v>0</v>
      </c>
      <c r="U18" s="261"/>
      <c r="V18" s="260">
        <v>1</v>
      </c>
      <c r="W18" s="261"/>
      <c r="X18" s="260">
        <v>2</v>
      </c>
      <c r="Y18" s="262" t="s">
        <v>50</v>
      </c>
      <c r="Z18" s="263"/>
      <c r="AA18" s="249"/>
      <c r="AB18" s="238"/>
      <c r="AC18" s="239"/>
      <c r="AD18" s="240"/>
      <c r="AE18" s="154"/>
    </row>
    <row r="19" spans="1:31" s="13" customFormat="1" ht="20.100000000000001" customHeight="1" thickTop="1" x14ac:dyDescent="0.2">
      <c r="A19" s="167">
        <f>IF($C19&lt;&gt;"",1,"")</f>
        <v>1</v>
      </c>
      <c r="B19" s="168"/>
      <c r="C19" s="169" t="str">
        <f>IF(Vorgaben!C19&lt;&gt;"",Vorgaben!C19,"")</f>
        <v>NN 1</v>
      </c>
      <c r="D19" s="169" t="str">
        <f>IF(Vorgaben!D19&lt;&gt;"",Vorgaben!D19,"")</f>
        <v>VN 1</v>
      </c>
      <c r="E19" s="99" t="str">
        <f>IF($C19&lt;&gt;"",IF(Vorgaben!F19&lt;&gt;"",Vorgaben!F19,""),"")</f>
        <v/>
      </c>
      <c r="F19" s="44"/>
      <c r="G19" s="46"/>
      <c r="H19" s="44"/>
      <c r="I19" s="30"/>
      <c r="J19" s="182">
        <f t="shared" ref="J19:J54" si="0">IF($C19&lt;&gt;"",IF(AND(F19&lt;&gt;"",H19&lt;&gt;""),ABS(F19-H19),0),"")</f>
        <v>0</v>
      </c>
      <c r="K19" s="183"/>
      <c r="L19" s="184" t="str">
        <f>IF($C19&lt;&gt;"",IF(J19&lt;2,"- -",IF(J19=2,"frw. ?","x")),"")</f>
        <v>- -</v>
      </c>
      <c r="M19" s="22"/>
      <c r="N19" s="56"/>
      <c r="O19" s="22"/>
      <c r="P19" s="51"/>
      <c r="Q19" s="23"/>
      <c r="R19" s="198" t="str">
        <f>IF($C19&lt;&gt;"",IF(OR(L19="x",N19="j"),IF(P19="","- -",(5*$F19+3*$H19+2*$P19)/10),"- -"),"")</f>
        <v>- -</v>
      </c>
      <c r="S19" s="199"/>
      <c r="T19" s="200">
        <f>IF($C19&lt;&gt;"",IF(J19=0,H19,"- -"),"")</f>
        <v>0</v>
      </c>
      <c r="U19" s="199"/>
      <c r="V19" s="201" t="str">
        <f>IF($C19&lt;&gt;"",IF(J19&lt;&gt;1,"- -",IF(AND($AC19&lt;&gt;"",$AD19=""),$AC19,"f")),"")</f>
        <v>- -</v>
      </c>
      <c r="W19" s="199"/>
      <c r="X19" s="202" t="str">
        <f>IF($C19&lt;&gt;"",IF(AND(J19=2,N19="n"),(F19+H19)/2,"- -"),"")</f>
        <v>- -</v>
      </c>
      <c r="Y19" s="203"/>
      <c r="Z19" s="204" t="str">
        <f>IF($C19&lt;&gt;"",IF(OR(F19="",H19=""),"",IF(OR(R19="- -",R19=""),"",ROUND(R19-0.05,0))&amp;IF(T19="- -","",T19)&amp;IF(OR(V19="- -",V19="f"),"",V19)&amp;IF(X19="- -","",X19)),"")</f>
        <v/>
      </c>
      <c r="AA19" s="205" t="str">
        <f t="shared" ref="AA19:AA54" si="1">IF(Z19="","",VALUE(Z19))</f>
        <v/>
      </c>
      <c r="AB19" s="178"/>
      <c r="AC19" s="62"/>
      <c r="AD19" s="223" t="str">
        <f t="shared" ref="AD19:AD54" si="2">IF($C19&lt;&gt;"",IF(AND($J19=1,$AC19&lt;&gt;"",$AC19&lt;&gt;$F19,$AC19&lt;&gt;$H19),"falsche Zensur",IF(AND($J19=1,AC19=""),"fehlende Zensur","")),"")</f>
        <v/>
      </c>
    </row>
    <row r="20" spans="1:31" s="13" customFormat="1" ht="20.100000000000001" customHeight="1" x14ac:dyDescent="0.2">
      <c r="A20" s="167">
        <f t="shared" ref="A20:A54" si="3">IF($C20&lt;&gt;"",A19+1,"")</f>
        <v>2</v>
      </c>
      <c r="B20" s="168"/>
      <c r="C20" s="170" t="str">
        <f>IF(Vorgaben!C20&lt;&gt;"",Vorgaben!C20,"")</f>
        <v>NN 2</v>
      </c>
      <c r="D20" s="170" t="str">
        <f>IF(Vorgaben!D20&lt;&gt;"",Vorgaben!D20,"")</f>
        <v>VN 2</v>
      </c>
      <c r="E20" s="90" t="str">
        <f>IF($C20&lt;&gt;"",IF(Vorgaben!F20&lt;&gt;"",Vorgaben!F20,""),"")</f>
        <v/>
      </c>
      <c r="F20" s="97"/>
      <c r="G20" s="98"/>
      <c r="H20" s="97"/>
      <c r="I20" s="39"/>
      <c r="J20" s="186">
        <f t="shared" si="0"/>
        <v>0</v>
      </c>
      <c r="K20" s="265"/>
      <c r="L20" s="266" t="str">
        <f>IF($C20&lt;&gt;"",IF(J20&lt;2,"- -",IF(J20=2,"frw. ?","x")),"")</f>
        <v>- -</v>
      </c>
      <c r="M20" s="25"/>
      <c r="N20" s="55"/>
      <c r="O20" s="25"/>
      <c r="P20" s="45"/>
      <c r="Q20" s="26"/>
      <c r="R20" s="206" t="str">
        <f t="shared" ref="R20:R45" si="4">IF($C20&lt;&gt;"",IF(OR(L20="x",N20="j"),IF(P20="","- -",(5*$F20+3*$H20+2*$P20)/10),"- -"),"")</f>
        <v>- -</v>
      </c>
      <c r="S20" s="207"/>
      <c r="T20" s="208">
        <f t="shared" ref="T20:T45" si="5">IF($C20&lt;&gt;"",IF(J20=0,H20,"- -"),"")</f>
        <v>0</v>
      </c>
      <c r="U20" s="207"/>
      <c r="V20" s="209" t="str">
        <f t="shared" ref="V20:V45" si="6">IF($C20&lt;&gt;"",IF(J20&lt;&gt;1,"- -",IF(AND($AC20&lt;&gt;"",$AD20=""),$AC20,"f")),"")</f>
        <v>- -</v>
      </c>
      <c r="W20" s="207"/>
      <c r="X20" s="209" t="str">
        <f t="shared" ref="X20:X45" si="7">IF($C20&lt;&gt;"",IF(AND(J20=2,N20="n"),(F20+H20)/2,"- -"),"")</f>
        <v>- -</v>
      </c>
      <c r="Y20" s="210"/>
      <c r="Z20" s="211" t="str">
        <f t="shared" ref="Z20:Z45" si="8">IF($C20&lt;&gt;"",IF(OR(F20="",H20=""),"",IF(OR(R20="- -",R20=""),"",ROUND(R20-0.05,0))&amp;IF(T20="- -","",T20)&amp;IF(OR(V20="- -",V20="f"),"",V20)&amp;IF(X20="- -","",X20)),"")</f>
        <v/>
      </c>
      <c r="AA20" s="205" t="str">
        <f t="shared" si="1"/>
        <v/>
      </c>
      <c r="AB20" s="178"/>
      <c r="AC20" s="62"/>
      <c r="AD20" s="223" t="str">
        <f t="shared" si="2"/>
        <v/>
      </c>
    </row>
    <row r="21" spans="1:31" s="13" customFormat="1" ht="20.100000000000001" customHeight="1" x14ac:dyDescent="0.2">
      <c r="A21" s="167">
        <f t="shared" si="3"/>
        <v>3</v>
      </c>
      <c r="B21" s="168"/>
      <c r="C21" s="170" t="str">
        <f>IF(Vorgaben!C21&lt;&gt;"",Vorgaben!C21,"")</f>
        <v>NN 3</v>
      </c>
      <c r="D21" s="170" t="str">
        <f>IF(Vorgaben!D21&lt;&gt;"",Vorgaben!D21,"")</f>
        <v>VN 3</v>
      </c>
      <c r="E21" s="90" t="str">
        <f>IF($C21&lt;&gt;"",IF(Vorgaben!F21&lt;&gt;"",Vorgaben!F21,""),"")</f>
        <v/>
      </c>
      <c r="F21" s="97"/>
      <c r="G21" s="98"/>
      <c r="H21" s="97"/>
      <c r="I21" s="39"/>
      <c r="J21" s="186">
        <f t="shared" si="0"/>
        <v>0</v>
      </c>
      <c r="K21" s="265"/>
      <c r="L21" s="266" t="str">
        <f t="shared" ref="L21:L54" si="9">IF($C21&lt;&gt;"",IF(J21&lt;2,"- -",IF(J21=2,"frw. ?","x")),"")</f>
        <v>- -</v>
      </c>
      <c r="M21" s="25"/>
      <c r="N21" s="55"/>
      <c r="O21" s="25"/>
      <c r="P21" s="45"/>
      <c r="Q21" s="26"/>
      <c r="R21" s="206" t="str">
        <f t="shared" si="4"/>
        <v>- -</v>
      </c>
      <c r="S21" s="207"/>
      <c r="T21" s="208">
        <f t="shared" si="5"/>
        <v>0</v>
      </c>
      <c r="U21" s="207"/>
      <c r="V21" s="209" t="str">
        <f t="shared" si="6"/>
        <v>- -</v>
      </c>
      <c r="W21" s="207"/>
      <c r="X21" s="209" t="str">
        <f t="shared" si="7"/>
        <v>- -</v>
      </c>
      <c r="Y21" s="210"/>
      <c r="Z21" s="211" t="str">
        <f t="shared" si="8"/>
        <v/>
      </c>
      <c r="AA21" s="205" t="str">
        <f t="shared" si="1"/>
        <v/>
      </c>
      <c r="AB21" s="178"/>
      <c r="AC21" s="62"/>
      <c r="AD21" s="223" t="str">
        <f t="shared" si="2"/>
        <v/>
      </c>
    </row>
    <row r="22" spans="1:31" s="13" customFormat="1" ht="20.100000000000001" customHeight="1" x14ac:dyDescent="0.2">
      <c r="A22" s="167">
        <f t="shared" si="3"/>
        <v>4</v>
      </c>
      <c r="B22" s="168"/>
      <c r="C22" s="170" t="str">
        <f>IF(Vorgaben!C22&lt;&gt;"",Vorgaben!C22,"")</f>
        <v>NN 4</v>
      </c>
      <c r="D22" s="170" t="str">
        <f>IF(Vorgaben!D22&lt;&gt;"",Vorgaben!D22,"")</f>
        <v>VN 4</v>
      </c>
      <c r="E22" s="90" t="str">
        <f>IF($C22&lt;&gt;"",IF(Vorgaben!F22&lt;&gt;"",Vorgaben!F22,""),"")</f>
        <v/>
      </c>
      <c r="F22" s="97"/>
      <c r="G22" s="98"/>
      <c r="H22" s="97"/>
      <c r="I22" s="39"/>
      <c r="J22" s="186">
        <f t="shared" si="0"/>
        <v>0</v>
      </c>
      <c r="K22" s="265"/>
      <c r="L22" s="266" t="str">
        <f t="shared" si="9"/>
        <v>- -</v>
      </c>
      <c r="M22" s="25"/>
      <c r="N22" s="55"/>
      <c r="O22" s="25"/>
      <c r="P22" s="45"/>
      <c r="Q22" s="26"/>
      <c r="R22" s="206" t="str">
        <f t="shared" si="4"/>
        <v>- -</v>
      </c>
      <c r="S22" s="207"/>
      <c r="T22" s="208">
        <f t="shared" si="5"/>
        <v>0</v>
      </c>
      <c r="U22" s="207"/>
      <c r="V22" s="209" t="str">
        <f t="shared" si="6"/>
        <v>- -</v>
      </c>
      <c r="W22" s="207"/>
      <c r="X22" s="209" t="str">
        <f t="shared" si="7"/>
        <v>- -</v>
      </c>
      <c r="Y22" s="210"/>
      <c r="Z22" s="211" t="str">
        <f t="shared" si="8"/>
        <v/>
      </c>
      <c r="AA22" s="205" t="str">
        <f t="shared" si="1"/>
        <v/>
      </c>
      <c r="AB22" s="178"/>
      <c r="AC22" s="62"/>
      <c r="AD22" s="223" t="str">
        <f t="shared" si="2"/>
        <v/>
      </c>
    </row>
    <row r="23" spans="1:31" s="13" customFormat="1" ht="20.100000000000001" customHeight="1" x14ac:dyDescent="0.2">
      <c r="A23" s="167">
        <f t="shared" si="3"/>
        <v>5</v>
      </c>
      <c r="B23" s="168"/>
      <c r="C23" s="170" t="str">
        <f>IF(Vorgaben!C23&lt;&gt;"",Vorgaben!C23,"")</f>
        <v>NN 5</v>
      </c>
      <c r="D23" s="170" t="str">
        <f>IF(Vorgaben!D23&lt;&gt;"",Vorgaben!D23,"")</f>
        <v>VN 5</v>
      </c>
      <c r="E23" s="90" t="str">
        <f>IF($C23&lt;&gt;"",IF(Vorgaben!F23&lt;&gt;"",Vorgaben!F23,""),"")</f>
        <v/>
      </c>
      <c r="F23" s="97"/>
      <c r="G23" s="98"/>
      <c r="H23" s="97"/>
      <c r="I23" s="39"/>
      <c r="J23" s="186">
        <f t="shared" si="0"/>
        <v>0</v>
      </c>
      <c r="K23" s="265"/>
      <c r="L23" s="266" t="str">
        <f t="shared" si="9"/>
        <v>- -</v>
      </c>
      <c r="M23" s="25"/>
      <c r="N23" s="55"/>
      <c r="O23" s="25"/>
      <c r="P23" s="45"/>
      <c r="Q23" s="26"/>
      <c r="R23" s="206" t="str">
        <f t="shared" si="4"/>
        <v>- -</v>
      </c>
      <c r="S23" s="207"/>
      <c r="T23" s="208">
        <f t="shared" si="5"/>
        <v>0</v>
      </c>
      <c r="U23" s="207"/>
      <c r="V23" s="209" t="str">
        <f t="shared" si="6"/>
        <v>- -</v>
      </c>
      <c r="W23" s="207"/>
      <c r="X23" s="209" t="str">
        <f t="shared" si="7"/>
        <v>- -</v>
      </c>
      <c r="Y23" s="210"/>
      <c r="Z23" s="211" t="str">
        <f t="shared" si="8"/>
        <v/>
      </c>
      <c r="AA23" s="205" t="str">
        <f t="shared" si="1"/>
        <v/>
      </c>
      <c r="AB23" s="178"/>
      <c r="AC23" s="62"/>
      <c r="AD23" s="223" t="str">
        <f t="shared" si="2"/>
        <v/>
      </c>
    </row>
    <row r="24" spans="1:31" s="13" customFormat="1" ht="20.100000000000001" customHeight="1" x14ac:dyDescent="0.2">
      <c r="A24" s="167">
        <f t="shared" si="3"/>
        <v>6</v>
      </c>
      <c r="B24" s="168"/>
      <c r="C24" s="170" t="str">
        <f>IF(Vorgaben!C24&lt;&gt;"",Vorgaben!C24,"")</f>
        <v>NN 6</v>
      </c>
      <c r="D24" s="170" t="str">
        <f>IF(Vorgaben!D24&lt;&gt;"",Vorgaben!D24,"")</f>
        <v>VN 6</v>
      </c>
      <c r="E24" s="90" t="str">
        <f>IF($C24&lt;&gt;"",IF(Vorgaben!F24&lt;&gt;"",Vorgaben!F24,""),"")</f>
        <v/>
      </c>
      <c r="F24" s="97"/>
      <c r="G24" s="98"/>
      <c r="H24" s="97"/>
      <c r="I24" s="39"/>
      <c r="J24" s="186">
        <f t="shared" si="0"/>
        <v>0</v>
      </c>
      <c r="K24" s="265"/>
      <c r="L24" s="266" t="str">
        <f t="shared" si="9"/>
        <v>- -</v>
      </c>
      <c r="M24" s="25"/>
      <c r="N24" s="55"/>
      <c r="O24" s="25"/>
      <c r="P24" s="45"/>
      <c r="Q24" s="26"/>
      <c r="R24" s="206" t="str">
        <f t="shared" si="4"/>
        <v>- -</v>
      </c>
      <c r="S24" s="207"/>
      <c r="T24" s="208">
        <f t="shared" si="5"/>
        <v>0</v>
      </c>
      <c r="U24" s="207"/>
      <c r="V24" s="209" t="str">
        <f t="shared" si="6"/>
        <v>- -</v>
      </c>
      <c r="W24" s="207"/>
      <c r="X24" s="209" t="str">
        <f t="shared" si="7"/>
        <v>- -</v>
      </c>
      <c r="Y24" s="210"/>
      <c r="Z24" s="211" t="str">
        <f t="shared" si="8"/>
        <v/>
      </c>
      <c r="AA24" s="205" t="str">
        <f t="shared" si="1"/>
        <v/>
      </c>
      <c r="AB24" s="178"/>
      <c r="AC24" s="62"/>
      <c r="AD24" s="223" t="str">
        <f t="shared" si="2"/>
        <v/>
      </c>
    </row>
    <row r="25" spans="1:31" s="13" customFormat="1" ht="20.100000000000001" customHeight="1" x14ac:dyDescent="0.2">
      <c r="A25" s="167">
        <f t="shared" si="3"/>
        <v>7</v>
      </c>
      <c r="B25" s="168"/>
      <c r="C25" s="170" t="str">
        <f>IF(Vorgaben!C25&lt;&gt;"",Vorgaben!C25,"")</f>
        <v>NN 7</v>
      </c>
      <c r="D25" s="170" t="str">
        <f>IF(Vorgaben!D25&lt;&gt;"",Vorgaben!D25,"")</f>
        <v>VN 7</v>
      </c>
      <c r="E25" s="90" t="str">
        <f>IF($C25&lt;&gt;"",IF(Vorgaben!F25&lt;&gt;"",Vorgaben!F25,""),"")</f>
        <v/>
      </c>
      <c r="F25" s="97"/>
      <c r="G25" s="98"/>
      <c r="H25" s="97"/>
      <c r="I25" s="39"/>
      <c r="J25" s="186">
        <f t="shared" si="0"/>
        <v>0</v>
      </c>
      <c r="K25" s="265"/>
      <c r="L25" s="266" t="str">
        <f t="shared" si="9"/>
        <v>- -</v>
      </c>
      <c r="M25" s="25"/>
      <c r="N25" s="55"/>
      <c r="O25" s="25"/>
      <c r="P25" s="45"/>
      <c r="Q25" s="26"/>
      <c r="R25" s="206" t="str">
        <f t="shared" si="4"/>
        <v>- -</v>
      </c>
      <c r="S25" s="207"/>
      <c r="T25" s="208">
        <f t="shared" si="5"/>
        <v>0</v>
      </c>
      <c r="U25" s="207"/>
      <c r="V25" s="209" t="str">
        <f t="shared" si="6"/>
        <v>- -</v>
      </c>
      <c r="W25" s="207"/>
      <c r="X25" s="209" t="str">
        <f t="shared" si="7"/>
        <v>- -</v>
      </c>
      <c r="Y25" s="210"/>
      <c r="Z25" s="211" t="str">
        <f t="shared" si="8"/>
        <v/>
      </c>
      <c r="AA25" s="205" t="str">
        <f t="shared" si="1"/>
        <v/>
      </c>
      <c r="AB25" s="178"/>
      <c r="AC25" s="62"/>
      <c r="AD25" s="223" t="str">
        <f t="shared" si="2"/>
        <v/>
      </c>
    </row>
    <row r="26" spans="1:31" s="13" customFormat="1" ht="20.100000000000001" customHeight="1" x14ac:dyDescent="0.2">
      <c r="A26" s="167">
        <f t="shared" si="3"/>
        <v>8</v>
      </c>
      <c r="B26" s="168"/>
      <c r="C26" s="170" t="str">
        <f>IF(Vorgaben!C26&lt;&gt;"",Vorgaben!C26,"")</f>
        <v>NN 8</v>
      </c>
      <c r="D26" s="170" t="str">
        <f>IF(Vorgaben!D26&lt;&gt;"",Vorgaben!D26,"")</f>
        <v>VN 8</v>
      </c>
      <c r="E26" s="90" t="str">
        <f>IF($C26&lt;&gt;"",IF(Vorgaben!F26&lt;&gt;"",Vorgaben!F26,""),"")</f>
        <v/>
      </c>
      <c r="F26" s="97"/>
      <c r="G26" s="98"/>
      <c r="H26" s="97"/>
      <c r="I26" s="39"/>
      <c r="J26" s="186">
        <f t="shared" si="0"/>
        <v>0</v>
      </c>
      <c r="K26" s="265"/>
      <c r="L26" s="266" t="str">
        <f t="shared" si="9"/>
        <v>- -</v>
      </c>
      <c r="M26" s="25"/>
      <c r="N26" s="55"/>
      <c r="O26" s="25"/>
      <c r="P26" s="45"/>
      <c r="Q26" s="26"/>
      <c r="R26" s="206" t="str">
        <f t="shared" si="4"/>
        <v>- -</v>
      </c>
      <c r="S26" s="207"/>
      <c r="T26" s="208">
        <f t="shared" si="5"/>
        <v>0</v>
      </c>
      <c r="U26" s="207"/>
      <c r="V26" s="209" t="str">
        <f t="shared" si="6"/>
        <v>- -</v>
      </c>
      <c r="W26" s="207"/>
      <c r="X26" s="209" t="str">
        <f t="shared" si="7"/>
        <v>- -</v>
      </c>
      <c r="Y26" s="210"/>
      <c r="Z26" s="211" t="str">
        <f t="shared" si="8"/>
        <v/>
      </c>
      <c r="AA26" s="205" t="str">
        <f t="shared" si="1"/>
        <v/>
      </c>
      <c r="AB26" s="178"/>
      <c r="AC26" s="62"/>
      <c r="AD26" s="223" t="str">
        <f t="shared" si="2"/>
        <v/>
      </c>
    </row>
    <row r="27" spans="1:31" s="13" customFormat="1" ht="20.100000000000001" customHeight="1" x14ac:dyDescent="0.2">
      <c r="A27" s="167">
        <f t="shared" si="3"/>
        <v>9</v>
      </c>
      <c r="B27" s="168"/>
      <c r="C27" s="170" t="str">
        <f>IF(Vorgaben!C27&lt;&gt;"",Vorgaben!C27,"")</f>
        <v>NN 9</v>
      </c>
      <c r="D27" s="170" t="str">
        <f>IF(Vorgaben!D27&lt;&gt;"",Vorgaben!D27,"")</f>
        <v>VN 9</v>
      </c>
      <c r="E27" s="90" t="str">
        <f>IF($C27&lt;&gt;"",IF(Vorgaben!F27&lt;&gt;"",Vorgaben!F27,""),"")</f>
        <v/>
      </c>
      <c r="F27" s="97"/>
      <c r="G27" s="98"/>
      <c r="H27" s="97"/>
      <c r="I27" s="39"/>
      <c r="J27" s="186">
        <f t="shared" si="0"/>
        <v>0</v>
      </c>
      <c r="K27" s="265"/>
      <c r="L27" s="266" t="str">
        <f t="shared" si="9"/>
        <v>- -</v>
      </c>
      <c r="M27" s="25"/>
      <c r="N27" s="55"/>
      <c r="O27" s="25"/>
      <c r="P27" s="45"/>
      <c r="Q27" s="26"/>
      <c r="R27" s="206" t="str">
        <f t="shared" si="4"/>
        <v>- -</v>
      </c>
      <c r="S27" s="207"/>
      <c r="T27" s="208">
        <f t="shared" si="5"/>
        <v>0</v>
      </c>
      <c r="U27" s="207"/>
      <c r="V27" s="209" t="str">
        <f t="shared" si="6"/>
        <v>- -</v>
      </c>
      <c r="W27" s="207"/>
      <c r="X27" s="209" t="str">
        <f t="shared" si="7"/>
        <v>- -</v>
      </c>
      <c r="Y27" s="210"/>
      <c r="Z27" s="211" t="str">
        <f t="shared" si="8"/>
        <v/>
      </c>
      <c r="AA27" s="205" t="str">
        <f t="shared" si="1"/>
        <v/>
      </c>
      <c r="AB27" s="178"/>
      <c r="AC27" s="62"/>
      <c r="AD27" s="223" t="str">
        <f t="shared" si="2"/>
        <v/>
      </c>
    </row>
    <row r="28" spans="1:31" s="13" customFormat="1" ht="20.100000000000001" customHeight="1" x14ac:dyDescent="0.2">
      <c r="A28" s="167">
        <f t="shared" si="3"/>
        <v>10</v>
      </c>
      <c r="B28" s="168"/>
      <c r="C28" s="170" t="str">
        <f>IF(Vorgaben!C28&lt;&gt;"",Vorgaben!C28,"")</f>
        <v>NN 10</v>
      </c>
      <c r="D28" s="170" t="str">
        <f>IF(Vorgaben!D28&lt;&gt;"",Vorgaben!D28,"")</f>
        <v>VN 10</v>
      </c>
      <c r="E28" s="90" t="str">
        <f>IF($C28&lt;&gt;"",IF(Vorgaben!F28&lt;&gt;"",Vorgaben!F28,""),"")</f>
        <v/>
      </c>
      <c r="F28" s="97"/>
      <c r="G28" s="98"/>
      <c r="H28" s="97"/>
      <c r="I28" s="39"/>
      <c r="J28" s="186">
        <f t="shared" si="0"/>
        <v>0</v>
      </c>
      <c r="K28" s="265"/>
      <c r="L28" s="266" t="str">
        <f t="shared" si="9"/>
        <v>- -</v>
      </c>
      <c r="M28" s="25"/>
      <c r="N28" s="55"/>
      <c r="O28" s="25"/>
      <c r="P28" s="45"/>
      <c r="Q28" s="26"/>
      <c r="R28" s="206" t="str">
        <f t="shared" si="4"/>
        <v>- -</v>
      </c>
      <c r="S28" s="207"/>
      <c r="T28" s="208">
        <f t="shared" si="5"/>
        <v>0</v>
      </c>
      <c r="U28" s="207"/>
      <c r="V28" s="209" t="str">
        <f t="shared" si="6"/>
        <v>- -</v>
      </c>
      <c r="W28" s="207"/>
      <c r="X28" s="209" t="str">
        <f t="shared" si="7"/>
        <v>- -</v>
      </c>
      <c r="Y28" s="210"/>
      <c r="Z28" s="211" t="str">
        <f t="shared" si="8"/>
        <v/>
      </c>
      <c r="AA28" s="205" t="str">
        <f t="shared" si="1"/>
        <v/>
      </c>
      <c r="AB28" s="178"/>
      <c r="AC28" s="62"/>
      <c r="AD28" s="223" t="str">
        <f t="shared" si="2"/>
        <v/>
      </c>
    </row>
    <row r="29" spans="1:31" s="13" customFormat="1" ht="20.100000000000001" customHeight="1" x14ac:dyDescent="0.2">
      <c r="A29" s="167">
        <f t="shared" si="3"/>
        <v>11</v>
      </c>
      <c r="B29" s="168"/>
      <c r="C29" s="170" t="str">
        <f>IF(Vorgaben!C29&lt;&gt;"",Vorgaben!C29,"")</f>
        <v>NN 11</v>
      </c>
      <c r="D29" s="170" t="str">
        <f>IF(Vorgaben!D29&lt;&gt;"",Vorgaben!D29,"")</f>
        <v>VN 11</v>
      </c>
      <c r="E29" s="90" t="str">
        <f>IF($C29&lt;&gt;"",IF(Vorgaben!F29&lt;&gt;"",Vorgaben!F29,""),"")</f>
        <v/>
      </c>
      <c r="F29" s="97"/>
      <c r="G29" s="98"/>
      <c r="H29" s="97"/>
      <c r="I29" s="39"/>
      <c r="J29" s="186">
        <f t="shared" si="0"/>
        <v>0</v>
      </c>
      <c r="K29" s="265"/>
      <c r="L29" s="266" t="str">
        <f t="shared" si="9"/>
        <v>- -</v>
      </c>
      <c r="M29" s="25"/>
      <c r="N29" s="55"/>
      <c r="O29" s="25"/>
      <c r="P29" s="45"/>
      <c r="Q29" s="26"/>
      <c r="R29" s="206" t="str">
        <f t="shared" si="4"/>
        <v>- -</v>
      </c>
      <c r="S29" s="207"/>
      <c r="T29" s="208">
        <f t="shared" si="5"/>
        <v>0</v>
      </c>
      <c r="U29" s="207"/>
      <c r="V29" s="209" t="str">
        <f t="shared" si="6"/>
        <v>- -</v>
      </c>
      <c r="W29" s="207"/>
      <c r="X29" s="209" t="str">
        <f t="shared" si="7"/>
        <v>- -</v>
      </c>
      <c r="Y29" s="210"/>
      <c r="Z29" s="211" t="str">
        <f t="shared" si="8"/>
        <v/>
      </c>
      <c r="AA29" s="205" t="str">
        <f t="shared" si="1"/>
        <v/>
      </c>
      <c r="AB29" s="178"/>
      <c r="AC29" s="62"/>
      <c r="AD29" s="223" t="str">
        <f t="shared" si="2"/>
        <v/>
      </c>
    </row>
    <row r="30" spans="1:31" s="13" customFormat="1" ht="20.100000000000001" customHeight="1" x14ac:dyDescent="0.2">
      <c r="A30" s="167">
        <f t="shared" si="3"/>
        <v>12</v>
      </c>
      <c r="B30" s="168"/>
      <c r="C30" s="170" t="str">
        <f>IF(Vorgaben!C30&lt;&gt;"",Vorgaben!C30,"")</f>
        <v>NN 12</v>
      </c>
      <c r="D30" s="170" t="str">
        <f>IF(Vorgaben!D30&lt;&gt;"",Vorgaben!D30,"")</f>
        <v>VN 12</v>
      </c>
      <c r="E30" s="90" t="str">
        <f>IF($C30&lt;&gt;"",IF(Vorgaben!F30&lt;&gt;"",Vorgaben!F30,""),"")</f>
        <v/>
      </c>
      <c r="F30" s="97"/>
      <c r="G30" s="98"/>
      <c r="H30" s="97"/>
      <c r="I30" s="39"/>
      <c r="J30" s="186">
        <f t="shared" si="0"/>
        <v>0</v>
      </c>
      <c r="K30" s="265"/>
      <c r="L30" s="266" t="str">
        <f t="shared" si="9"/>
        <v>- -</v>
      </c>
      <c r="M30" s="25"/>
      <c r="N30" s="55"/>
      <c r="O30" s="25"/>
      <c r="P30" s="45"/>
      <c r="Q30" s="26"/>
      <c r="R30" s="206" t="str">
        <f t="shared" si="4"/>
        <v>- -</v>
      </c>
      <c r="S30" s="207"/>
      <c r="T30" s="208">
        <f t="shared" si="5"/>
        <v>0</v>
      </c>
      <c r="U30" s="207"/>
      <c r="V30" s="209" t="str">
        <f t="shared" si="6"/>
        <v>- -</v>
      </c>
      <c r="W30" s="207"/>
      <c r="X30" s="209" t="str">
        <f t="shared" si="7"/>
        <v>- -</v>
      </c>
      <c r="Y30" s="210"/>
      <c r="Z30" s="211" t="str">
        <f t="shared" si="8"/>
        <v/>
      </c>
      <c r="AA30" s="205" t="str">
        <f t="shared" si="1"/>
        <v/>
      </c>
      <c r="AB30" s="178"/>
      <c r="AC30" s="62"/>
      <c r="AD30" s="223" t="str">
        <f t="shared" si="2"/>
        <v/>
      </c>
    </row>
    <row r="31" spans="1:31" s="13" customFormat="1" ht="20.100000000000001" customHeight="1" x14ac:dyDescent="0.2">
      <c r="A31" s="167">
        <f t="shared" si="3"/>
        <v>13</v>
      </c>
      <c r="B31" s="168"/>
      <c r="C31" s="170" t="str">
        <f>IF(Vorgaben!C31&lt;&gt;"",Vorgaben!C31,"")</f>
        <v>NN 13</v>
      </c>
      <c r="D31" s="170" t="str">
        <f>IF(Vorgaben!D31&lt;&gt;"",Vorgaben!D31,"")</f>
        <v>VN 13</v>
      </c>
      <c r="E31" s="90" t="str">
        <f>IF($C31&lt;&gt;"",IF(Vorgaben!F31&lt;&gt;"",Vorgaben!F31,""),"")</f>
        <v/>
      </c>
      <c r="F31" s="97"/>
      <c r="G31" s="98"/>
      <c r="H31" s="97"/>
      <c r="I31" s="39"/>
      <c r="J31" s="186">
        <f t="shared" si="0"/>
        <v>0</v>
      </c>
      <c r="K31" s="265"/>
      <c r="L31" s="266" t="str">
        <f t="shared" si="9"/>
        <v>- -</v>
      </c>
      <c r="M31" s="25"/>
      <c r="N31" s="55"/>
      <c r="O31" s="25"/>
      <c r="P31" s="45"/>
      <c r="Q31" s="26"/>
      <c r="R31" s="206" t="str">
        <f t="shared" si="4"/>
        <v>- -</v>
      </c>
      <c r="S31" s="207"/>
      <c r="T31" s="208">
        <f t="shared" si="5"/>
        <v>0</v>
      </c>
      <c r="U31" s="207"/>
      <c r="V31" s="209" t="str">
        <f t="shared" si="6"/>
        <v>- -</v>
      </c>
      <c r="W31" s="207"/>
      <c r="X31" s="209" t="str">
        <f t="shared" si="7"/>
        <v>- -</v>
      </c>
      <c r="Y31" s="210"/>
      <c r="Z31" s="211" t="str">
        <f t="shared" si="8"/>
        <v/>
      </c>
      <c r="AA31" s="205" t="str">
        <f t="shared" si="1"/>
        <v/>
      </c>
      <c r="AB31" s="178"/>
      <c r="AC31" s="62"/>
      <c r="AD31" s="223" t="str">
        <f t="shared" si="2"/>
        <v/>
      </c>
    </row>
    <row r="32" spans="1:31" s="13" customFormat="1" ht="20.100000000000001" customHeight="1" x14ac:dyDescent="0.2">
      <c r="A32" s="167">
        <f t="shared" si="3"/>
        <v>14</v>
      </c>
      <c r="B32" s="168"/>
      <c r="C32" s="170" t="str">
        <f>IF(Vorgaben!C32&lt;&gt;"",Vorgaben!C32,"")</f>
        <v>NN 14</v>
      </c>
      <c r="D32" s="170" t="str">
        <f>IF(Vorgaben!D32&lt;&gt;"",Vorgaben!D32,"")</f>
        <v>VN 14</v>
      </c>
      <c r="E32" s="90" t="str">
        <f>IF($C32&lt;&gt;"",IF(Vorgaben!F32&lt;&gt;"",Vorgaben!F32,""),"")</f>
        <v/>
      </c>
      <c r="F32" s="97"/>
      <c r="G32" s="98"/>
      <c r="H32" s="97"/>
      <c r="I32" s="39"/>
      <c r="J32" s="186">
        <f t="shared" si="0"/>
        <v>0</v>
      </c>
      <c r="K32" s="265"/>
      <c r="L32" s="266" t="str">
        <f t="shared" si="9"/>
        <v>- -</v>
      </c>
      <c r="M32" s="25"/>
      <c r="N32" s="55"/>
      <c r="O32" s="25"/>
      <c r="P32" s="45"/>
      <c r="Q32" s="26"/>
      <c r="R32" s="206" t="str">
        <f t="shared" si="4"/>
        <v>- -</v>
      </c>
      <c r="S32" s="207"/>
      <c r="T32" s="208">
        <f t="shared" si="5"/>
        <v>0</v>
      </c>
      <c r="U32" s="207"/>
      <c r="V32" s="209" t="str">
        <f t="shared" si="6"/>
        <v>- -</v>
      </c>
      <c r="W32" s="207"/>
      <c r="X32" s="209" t="str">
        <f t="shared" si="7"/>
        <v>- -</v>
      </c>
      <c r="Y32" s="210"/>
      <c r="Z32" s="211" t="str">
        <f t="shared" si="8"/>
        <v/>
      </c>
      <c r="AA32" s="205" t="str">
        <f t="shared" si="1"/>
        <v/>
      </c>
      <c r="AB32" s="178"/>
      <c r="AC32" s="62"/>
      <c r="AD32" s="223" t="str">
        <f t="shared" si="2"/>
        <v/>
      </c>
    </row>
    <row r="33" spans="1:30" s="13" customFormat="1" ht="20.100000000000001" customHeight="1" x14ac:dyDescent="0.2">
      <c r="A33" s="167">
        <f t="shared" si="3"/>
        <v>15</v>
      </c>
      <c r="B33" s="168"/>
      <c r="C33" s="170" t="str">
        <f>IF(Vorgaben!C33&lt;&gt;"",Vorgaben!C33,"")</f>
        <v>NN 15</v>
      </c>
      <c r="D33" s="170" t="str">
        <f>IF(Vorgaben!D33&lt;&gt;"",Vorgaben!D33,"")</f>
        <v>VN 15</v>
      </c>
      <c r="E33" s="90" t="str">
        <f>IF($C33&lt;&gt;"",IF(Vorgaben!F33&lt;&gt;"",Vorgaben!F33,""),"")</f>
        <v/>
      </c>
      <c r="F33" s="97"/>
      <c r="G33" s="98"/>
      <c r="H33" s="97"/>
      <c r="I33" s="39"/>
      <c r="J33" s="186">
        <f t="shared" si="0"/>
        <v>0</v>
      </c>
      <c r="K33" s="265"/>
      <c r="L33" s="266" t="str">
        <f t="shared" si="9"/>
        <v>- -</v>
      </c>
      <c r="M33" s="25"/>
      <c r="N33" s="55"/>
      <c r="O33" s="25"/>
      <c r="P33" s="45"/>
      <c r="Q33" s="26"/>
      <c r="R33" s="206" t="str">
        <f t="shared" si="4"/>
        <v>- -</v>
      </c>
      <c r="S33" s="207"/>
      <c r="T33" s="208">
        <f t="shared" si="5"/>
        <v>0</v>
      </c>
      <c r="U33" s="207"/>
      <c r="V33" s="209" t="str">
        <f t="shared" si="6"/>
        <v>- -</v>
      </c>
      <c r="W33" s="207"/>
      <c r="X33" s="209" t="str">
        <f t="shared" si="7"/>
        <v>- -</v>
      </c>
      <c r="Y33" s="210"/>
      <c r="Z33" s="211" t="str">
        <f t="shared" si="8"/>
        <v/>
      </c>
      <c r="AA33" s="205" t="str">
        <f t="shared" si="1"/>
        <v/>
      </c>
      <c r="AB33" s="178"/>
      <c r="AC33" s="62"/>
      <c r="AD33" s="223" t="str">
        <f t="shared" si="2"/>
        <v/>
      </c>
    </row>
    <row r="34" spans="1:30" s="13" customFormat="1" ht="20.100000000000001" customHeight="1" x14ac:dyDescent="0.2">
      <c r="A34" s="167">
        <f t="shared" si="3"/>
        <v>16</v>
      </c>
      <c r="B34" s="168"/>
      <c r="C34" s="170" t="str">
        <f>IF(Vorgaben!C34&lt;&gt;"",Vorgaben!C34,"")</f>
        <v>NN 16</v>
      </c>
      <c r="D34" s="170" t="str">
        <f>IF(Vorgaben!D34&lt;&gt;"",Vorgaben!D34,"")</f>
        <v>VN 16</v>
      </c>
      <c r="E34" s="90" t="str">
        <f>IF($C34&lt;&gt;"",IF(Vorgaben!F34&lt;&gt;"",Vorgaben!F34,""),"")</f>
        <v/>
      </c>
      <c r="F34" s="97"/>
      <c r="G34" s="98"/>
      <c r="H34" s="97"/>
      <c r="I34" s="39"/>
      <c r="J34" s="186">
        <f t="shared" si="0"/>
        <v>0</v>
      </c>
      <c r="K34" s="265"/>
      <c r="L34" s="266" t="str">
        <f t="shared" si="9"/>
        <v>- -</v>
      </c>
      <c r="M34" s="25"/>
      <c r="N34" s="55"/>
      <c r="O34" s="25"/>
      <c r="P34" s="45"/>
      <c r="Q34" s="26"/>
      <c r="R34" s="206" t="str">
        <f t="shared" si="4"/>
        <v>- -</v>
      </c>
      <c r="S34" s="207"/>
      <c r="T34" s="208">
        <f t="shared" si="5"/>
        <v>0</v>
      </c>
      <c r="U34" s="207"/>
      <c r="V34" s="209" t="str">
        <f t="shared" si="6"/>
        <v>- -</v>
      </c>
      <c r="W34" s="207"/>
      <c r="X34" s="209" t="str">
        <f t="shared" si="7"/>
        <v>- -</v>
      </c>
      <c r="Y34" s="210"/>
      <c r="Z34" s="211" t="str">
        <f t="shared" si="8"/>
        <v/>
      </c>
      <c r="AA34" s="205" t="str">
        <f t="shared" si="1"/>
        <v/>
      </c>
      <c r="AB34" s="178"/>
      <c r="AC34" s="62"/>
      <c r="AD34" s="223" t="str">
        <f t="shared" si="2"/>
        <v/>
      </c>
    </row>
    <row r="35" spans="1:30" s="13" customFormat="1" ht="20.100000000000001" customHeight="1" x14ac:dyDescent="0.2">
      <c r="A35" s="167">
        <f t="shared" si="3"/>
        <v>17</v>
      </c>
      <c r="B35" s="168"/>
      <c r="C35" s="170" t="str">
        <f>IF(Vorgaben!C35&lt;&gt;"",Vorgaben!C35,"")</f>
        <v>NN 17</v>
      </c>
      <c r="D35" s="170" t="str">
        <f>IF(Vorgaben!D35&lt;&gt;"",Vorgaben!D35,"")</f>
        <v>VN 17</v>
      </c>
      <c r="E35" s="90" t="str">
        <f>IF($C35&lt;&gt;"",IF(Vorgaben!F35&lt;&gt;"",Vorgaben!F35,""),"")</f>
        <v/>
      </c>
      <c r="F35" s="97"/>
      <c r="G35" s="98"/>
      <c r="H35" s="97"/>
      <c r="I35" s="39"/>
      <c r="J35" s="186">
        <f t="shared" si="0"/>
        <v>0</v>
      </c>
      <c r="K35" s="265"/>
      <c r="L35" s="266" t="str">
        <f t="shared" si="9"/>
        <v>- -</v>
      </c>
      <c r="M35" s="25"/>
      <c r="N35" s="55"/>
      <c r="O35" s="25"/>
      <c r="P35" s="45"/>
      <c r="Q35" s="26"/>
      <c r="R35" s="206" t="str">
        <f t="shared" si="4"/>
        <v>- -</v>
      </c>
      <c r="S35" s="207"/>
      <c r="T35" s="208">
        <f t="shared" si="5"/>
        <v>0</v>
      </c>
      <c r="U35" s="207"/>
      <c r="V35" s="209" t="str">
        <f t="shared" si="6"/>
        <v>- -</v>
      </c>
      <c r="W35" s="207"/>
      <c r="X35" s="209" t="str">
        <f t="shared" si="7"/>
        <v>- -</v>
      </c>
      <c r="Y35" s="210"/>
      <c r="Z35" s="211" t="str">
        <f t="shared" si="8"/>
        <v/>
      </c>
      <c r="AA35" s="205" t="str">
        <f t="shared" si="1"/>
        <v/>
      </c>
      <c r="AB35" s="178"/>
      <c r="AC35" s="62"/>
      <c r="AD35" s="223" t="str">
        <f t="shared" si="2"/>
        <v/>
      </c>
    </row>
    <row r="36" spans="1:30" s="13" customFormat="1" ht="20.100000000000001" customHeight="1" x14ac:dyDescent="0.2">
      <c r="A36" s="167">
        <f t="shared" si="3"/>
        <v>18</v>
      </c>
      <c r="B36" s="168"/>
      <c r="C36" s="170" t="str">
        <f>IF(Vorgaben!C36&lt;&gt;"",Vorgaben!C36,"")</f>
        <v>NN 18</v>
      </c>
      <c r="D36" s="170" t="str">
        <f>IF(Vorgaben!D36&lt;&gt;"",Vorgaben!D36,"")</f>
        <v>VN 18</v>
      </c>
      <c r="E36" s="90" t="str">
        <f>IF($C36&lt;&gt;"",IF(Vorgaben!F36&lt;&gt;"",Vorgaben!F36,""),"")</f>
        <v/>
      </c>
      <c r="F36" s="97"/>
      <c r="G36" s="98"/>
      <c r="H36" s="97"/>
      <c r="I36" s="39"/>
      <c r="J36" s="186">
        <f t="shared" si="0"/>
        <v>0</v>
      </c>
      <c r="K36" s="265"/>
      <c r="L36" s="266" t="str">
        <f t="shared" si="9"/>
        <v>- -</v>
      </c>
      <c r="M36" s="25"/>
      <c r="N36" s="55"/>
      <c r="O36" s="25"/>
      <c r="P36" s="45"/>
      <c r="Q36" s="26"/>
      <c r="R36" s="206" t="str">
        <f t="shared" si="4"/>
        <v>- -</v>
      </c>
      <c r="S36" s="207"/>
      <c r="T36" s="208">
        <f t="shared" si="5"/>
        <v>0</v>
      </c>
      <c r="U36" s="207"/>
      <c r="V36" s="209" t="str">
        <f t="shared" si="6"/>
        <v>- -</v>
      </c>
      <c r="W36" s="207"/>
      <c r="X36" s="209" t="str">
        <f t="shared" si="7"/>
        <v>- -</v>
      </c>
      <c r="Y36" s="210"/>
      <c r="Z36" s="211" t="str">
        <f t="shared" si="8"/>
        <v/>
      </c>
      <c r="AA36" s="205" t="str">
        <f t="shared" si="1"/>
        <v/>
      </c>
      <c r="AB36" s="178"/>
      <c r="AC36" s="62"/>
      <c r="AD36" s="223" t="str">
        <f t="shared" si="2"/>
        <v/>
      </c>
    </row>
    <row r="37" spans="1:30" s="13" customFormat="1" ht="20.100000000000001" customHeight="1" x14ac:dyDescent="0.2">
      <c r="A37" s="167">
        <f t="shared" si="3"/>
        <v>19</v>
      </c>
      <c r="B37" s="168"/>
      <c r="C37" s="170" t="str">
        <f>IF(Vorgaben!C37&lt;&gt;"",Vorgaben!C37,"")</f>
        <v>NN 19</v>
      </c>
      <c r="D37" s="170" t="str">
        <f>IF(Vorgaben!D37&lt;&gt;"",Vorgaben!D37,"")</f>
        <v>VN 19</v>
      </c>
      <c r="E37" s="90" t="str">
        <f>IF($C37&lt;&gt;"",IF(Vorgaben!F37&lt;&gt;"",Vorgaben!F37,""),"")</f>
        <v/>
      </c>
      <c r="F37" s="97"/>
      <c r="G37" s="98"/>
      <c r="H37" s="97"/>
      <c r="I37" s="39"/>
      <c r="J37" s="186">
        <f t="shared" si="0"/>
        <v>0</v>
      </c>
      <c r="K37" s="265"/>
      <c r="L37" s="266" t="str">
        <f t="shared" si="9"/>
        <v>- -</v>
      </c>
      <c r="M37" s="25"/>
      <c r="N37" s="55"/>
      <c r="O37" s="25"/>
      <c r="P37" s="45"/>
      <c r="Q37" s="26"/>
      <c r="R37" s="206" t="str">
        <f t="shared" si="4"/>
        <v>- -</v>
      </c>
      <c r="S37" s="207"/>
      <c r="T37" s="208">
        <f t="shared" si="5"/>
        <v>0</v>
      </c>
      <c r="U37" s="207"/>
      <c r="V37" s="209" t="str">
        <f t="shared" si="6"/>
        <v>- -</v>
      </c>
      <c r="W37" s="207"/>
      <c r="X37" s="209" t="str">
        <f t="shared" si="7"/>
        <v>- -</v>
      </c>
      <c r="Y37" s="210"/>
      <c r="Z37" s="211" t="str">
        <f t="shared" si="8"/>
        <v/>
      </c>
      <c r="AA37" s="205" t="str">
        <f t="shared" si="1"/>
        <v/>
      </c>
      <c r="AB37" s="178"/>
      <c r="AC37" s="62"/>
      <c r="AD37" s="223" t="str">
        <f t="shared" si="2"/>
        <v/>
      </c>
    </row>
    <row r="38" spans="1:30" s="13" customFormat="1" ht="20.100000000000001" customHeight="1" x14ac:dyDescent="0.2">
      <c r="A38" s="167">
        <f t="shared" si="3"/>
        <v>20</v>
      </c>
      <c r="B38" s="168"/>
      <c r="C38" s="170" t="str">
        <f>IF(Vorgaben!C38&lt;&gt;"",Vorgaben!C38,"")</f>
        <v>NN 20</v>
      </c>
      <c r="D38" s="170" t="str">
        <f>IF(Vorgaben!D38&lt;&gt;"",Vorgaben!D38,"")</f>
        <v>VN 20</v>
      </c>
      <c r="E38" s="90" t="str">
        <f>IF($C38&lt;&gt;"",IF(Vorgaben!F38&lt;&gt;"",Vorgaben!F38,""),"")</f>
        <v/>
      </c>
      <c r="F38" s="97"/>
      <c r="G38" s="98"/>
      <c r="H38" s="97"/>
      <c r="I38" s="39"/>
      <c r="J38" s="186">
        <f t="shared" si="0"/>
        <v>0</v>
      </c>
      <c r="K38" s="265"/>
      <c r="L38" s="266" t="str">
        <f t="shared" si="9"/>
        <v>- -</v>
      </c>
      <c r="M38" s="25"/>
      <c r="N38" s="55"/>
      <c r="O38" s="25"/>
      <c r="P38" s="45"/>
      <c r="Q38" s="26"/>
      <c r="R38" s="206" t="str">
        <f t="shared" si="4"/>
        <v>- -</v>
      </c>
      <c r="S38" s="207"/>
      <c r="T38" s="208">
        <f t="shared" si="5"/>
        <v>0</v>
      </c>
      <c r="U38" s="207"/>
      <c r="V38" s="209" t="str">
        <f t="shared" si="6"/>
        <v>- -</v>
      </c>
      <c r="W38" s="207"/>
      <c r="X38" s="209" t="str">
        <f t="shared" si="7"/>
        <v>- -</v>
      </c>
      <c r="Y38" s="210"/>
      <c r="Z38" s="211" t="str">
        <f t="shared" si="8"/>
        <v/>
      </c>
      <c r="AA38" s="205" t="str">
        <f t="shared" si="1"/>
        <v/>
      </c>
      <c r="AB38" s="178"/>
      <c r="AC38" s="62"/>
      <c r="AD38" s="223" t="str">
        <f t="shared" si="2"/>
        <v/>
      </c>
    </row>
    <row r="39" spans="1:30" s="13" customFormat="1" ht="20.100000000000001" customHeight="1" x14ac:dyDescent="0.2">
      <c r="A39" s="167">
        <f t="shared" si="3"/>
        <v>21</v>
      </c>
      <c r="B39" s="168"/>
      <c r="C39" s="170" t="str">
        <f>IF(Vorgaben!C39&lt;&gt;"",Vorgaben!C39,"")</f>
        <v>NN 21</v>
      </c>
      <c r="D39" s="170" t="str">
        <f>IF(Vorgaben!D39&lt;&gt;"",Vorgaben!D39,"")</f>
        <v>VN 21</v>
      </c>
      <c r="E39" s="90" t="str">
        <f>IF($C39&lt;&gt;"",IF(Vorgaben!F39&lt;&gt;"",Vorgaben!F39,""),"")</f>
        <v/>
      </c>
      <c r="F39" s="97"/>
      <c r="G39" s="98"/>
      <c r="H39" s="97"/>
      <c r="I39" s="39"/>
      <c r="J39" s="186">
        <f t="shared" si="0"/>
        <v>0</v>
      </c>
      <c r="K39" s="265"/>
      <c r="L39" s="266" t="str">
        <f t="shared" si="9"/>
        <v>- -</v>
      </c>
      <c r="M39" s="25"/>
      <c r="N39" s="55"/>
      <c r="O39" s="25"/>
      <c r="P39" s="45"/>
      <c r="Q39" s="26"/>
      <c r="R39" s="206" t="str">
        <f t="shared" si="4"/>
        <v>- -</v>
      </c>
      <c r="S39" s="207"/>
      <c r="T39" s="208">
        <f t="shared" si="5"/>
        <v>0</v>
      </c>
      <c r="U39" s="207"/>
      <c r="V39" s="209" t="str">
        <f t="shared" si="6"/>
        <v>- -</v>
      </c>
      <c r="W39" s="207"/>
      <c r="X39" s="209" t="str">
        <f t="shared" si="7"/>
        <v>- -</v>
      </c>
      <c r="Y39" s="210"/>
      <c r="Z39" s="211" t="str">
        <f t="shared" si="8"/>
        <v/>
      </c>
      <c r="AA39" s="205" t="str">
        <f t="shared" si="1"/>
        <v/>
      </c>
      <c r="AB39" s="178"/>
      <c r="AC39" s="62"/>
      <c r="AD39" s="223" t="str">
        <f t="shared" si="2"/>
        <v/>
      </c>
    </row>
    <row r="40" spans="1:30" s="13" customFormat="1" ht="20.100000000000001" customHeight="1" x14ac:dyDescent="0.2">
      <c r="A40" s="167">
        <f t="shared" si="3"/>
        <v>22</v>
      </c>
      <c r="B40" s="168"/>
      <c r="C40" s="170" t="str">
        <f>IF(Vorgaben!C40&lt;&gt;"",Vorgaben!C40,"")</f>
        <v>NN 22</v>
      </c>
      <c r="D40" s="170" t="str">
        <f>IF(Vorgaben!D40&lt;&gt;"",Vorgaben!D40,"")</f>
        <v>VN 22</v>
      </c>
      <c r="E40" s="90" t="str">
        <f>IF($C40&lt;&gt;"",IF(Vorgaben!F40&lt;&gt;"",Vorgaben!F40,""),"")</f>
        <v/>
      </c>
      <c r="F40" s="97"/>
      <c r="G40" s="98"/>
      <c r="H40" s="97"/>
      <c r="I40" s="39"/>
      <c r="J40" s="186">
        <f t="shared" si="0"/>
        <v>0</v>
      </c>
      <c r="K40" s="265"/>
      <c r="L40" s="266" t="str">
        <f t="shared" si="9"/>
        <v>- -</v>
      </c>
      <c r="M40" s="25"/>
      <c r="N40" s="55"/>
      <c r="O40" s="25"/>
      <c r="P40" s="45"/>
      <c r="Q40" s="26"/>
      <c r="R40" s="206" t="str">
        <f t="shared" si="4"/>
        <v>- -</v>
      </c>
      <c r="S40" s="207"/>
      <c r="T40" s="208">
        <f t="shared" si="5"/>
        <v>0</v>
      </c>
      <c r="U40" s="207"/>
      <c r="V40" s="209" t="str">
        <f t="shared" si="6"/>
        <v>- -</v>
      </c>
      <c r="W40" s="207"/>
      <c r="X40" s="209" t="str">
        <f t="shared" si="7"/>
        <v>- -</v>
      </c>
      <c r="Y40" s="210"/>
      <c r="Z40" s="211" t="str">
        <f t="shared" si="8"/>
        <v/>
      </c>
      <c r="AA40" s="205" t="str">
        <f t="shared" si="1"/>
        <v/>
      </c>
      <c r="AB40" s="178"/>
      <c r="AC40" s="62"/>
      <c r="AD40" s="223" t="str">
        <f t="shared" si="2"/>
        <v/>
      </c>
    </row>
    <row r="41" spans="1:30" s="13" customFormat="1" ht="20.100000000000001" customHeight="1" x14ac:dyDescent="0.2">
      <c r="A41" s="167">
        <f t="shared" si="3"/>
        <v>23</v>
      </c>
      <c r="B41" s="168"/>
      <c r="C41" s="171" t="str">
        <f>IF(Vorgaben!C41&lt;&gt;"",Vorgaben!C41,"")</f>
        <v>NN 23</v>
      </c>
      <c r="D41" s="171" t="str">
        <f>IF(Vorgaben!D41&lt;&gt;"",Vorgaben!D41,"")</f>
        <v>VN 23</v>
      </c>
      <c r="E41" s="90" t="str">
        <f>IF($C41&lt;&gt;"",IF(Vorgaben!F41&lt;&gt;"",Vorgaben!F41,""),"")</f>
        <v/>
      </c>
      <c r="F41" s="97"/>
      <c r="G41" s="98"/>
      <c r="H41" s="97"/>
      <c r="I41" s="39"/>
      <c r="J41" s="186">
        <f t="shared" si="0"/>
        <v>0</v>
      </c>
      <c r="K41" s="265"/>
      <c r="L41" s="266" t="str">
        <f t="shared" si="9"/>
        <v>- -</v>
      </c>
      <c r="M41" s="25"/>
      <c r="N41" s="55"/>
      <c r="O41" s="25"/>
      <c r="P41" s="45"/>
      <c r="Q41" s="26"/>
      <c r="R41" s="206" t="str">
        <f t="shared" si="4"/>
        <v>- -</v>
      </c>
      <c r="S41" s="207"/>
      <c r="T41" s="208">
        <f t="shared" si="5"/>
        <v>0</v>
      </c>
      <c r="U41" s="207"/>
      <c r="V41" s="209" t="str">
        <f t="shared" si="6"/>
        <v>- -</v>
      </c>
      <c r="W41" s="207"/>
      <c r="X41" s="209" t="str">
        <f t="shared" si="7"/>
        <v>- -</v>
      </c>
      <c r="Y41" s="210"/>
      <c r="Z41" s="211" t="str">
        <f t="shared" si="8"/>
        <v/>
      </c>
      <c r="AA41" s="205" t="str">
        <f t="shared" si="1"/>
        <v/>
      </c>
      <c r="AB41" s="178"/>
      <c r="AC41" s="62"/>
      <c r="AD41" s="223" t="str">
        <f t="shared" si="2"/>
        <v/>
      </c>
    </row>
    <row r="42" spans="1:30" s="13" customFormat="1" ht="20.100000000000001" customHeight="1" x14ac:dyDescent="0.2">
      <c r="A42" s="167">
        <f t="shared" si="3"/>
        <v>24</v>
      </c>
      <c r="B42" s="168"/>
      <c r="C42" s="171" t="str">
        <f>IF(Vorgaben!C42&lt;&gt;"",Vorgaben!C42,"")</f>
        <v>NN 24</v>
      </c>
      <c r="D42" s="171" t="str">
        <f>IF(Vorgaben!D42&lt;&gt;"",Vorgaben!D42,"")</f>
        <v>VN 24</v>
      </c>
      <c r="E42" s="90" t="str">
        <f>IF($C42&lt;&gt;"",IF(Vorgaben!F42&lt;&gt;"",Vorgaben!F42,""),"")</f>
        <v/>
      </c>
      <c r="F42" s="97"/>
      <c r="G42" s="98"/>
      <c r="H42" s="97"/>
      <c r="I42" s="39"/>
      <c r="J42" s="186">
        <f t="shared" si="0"/>
        <v>0</v>
      </c>
      <c r="K42" s="265"/>
      <c r="L42" s="266" t="str">
        <f t="shared" si="9"/>
        <v>- -</v>
      </c>
      <c r="M42" s="25"/>
      <c r="N42" s="55"/>
      <c r="O42" s="25"/>
      <c r="P42" s="45"/>
      <c r="Q42" s="26"/>
      <c r="R42" s="206" t="str">
        <f t="shared" si="4"/>
        <v>- -</v>
      </c>
      <c r="S42" s="207"/>
      <c r="T42" s="208">
        <f t="shared" si="5"/>
        <v>0</v>
      </c>
      <c r="U42" s="207"/>
      <c r="V42" s="209" t="str">
        <f t="shared" si="6"/>
        <v>- -</v>
      </c>
      <c r="W42" s="207"/>
      <c r="X42" s="209" t="str">
        <f t="shared" si="7"/>
        <v>- -</v>
      </c>
      <c r="Y42" s="210"/>
      <c r="Z42" s="211" t="str">
        <f t="shared" si="8"/>
        <v/>
      </c>
      <c r="AA42" s="205" t="str">
        <f t="shared" si="1"/>
        <v/>
      </c>
      <c r="AB42" s="178"/>
      <c r="AC42" s="62"/>
      <c r="AD42" s="223" t="str">
        <f t="shared" si="2"/>
        <v/>
      </c>
    </row>
    <row r="43" spans="1:30" s="13" customFormat="1" ht="20.100000000000001" customHeight="1" x14ac:dyDescent="0.2">
      <c r="A43" s="167">
        <f t="shared" si="3"/>
        <v>25</v>
      </c>
      <c r="B43" s="168"/>
      <c r="C43" s="171" t="str">
        <f>IF(Vorgaben!C43&lt;&gt;"",Vorgaben!C43,"")</f>
        <v>NN 25</v>
      </c>
      <c r="D43" s="171" t="str">
        <f>IF(Vorgaben!D43&lt;&gt;"",Vorgaben!D43,"")</f>
        <v>VN 25</v>
      </c>
      <c r="E43" s="90" t="str">
        <f>IF($C43&lt;&gt;"",IF(Vorgaben!F43&lt;&gt;"",Vorgaben!F43,""),"")</f>
        <v/>
      </c>
      <c r="F43" s="97"/>
      <c r="G43" s="98"/>
      <c r="H43" s="97"/>
      <c r="I43" s="39"/>
      <c r="J43" s="186">
        <f t="shared" si="0"/>
        <v>0</v>
      </c>
      <c r="K43" s="265"/>
      <c r="L43" s="266" t="str">
        <f t="shared" si="9"/>
        <v>- -</v>
      </c>
      <c r="M43" s="25"/>
      <c r="N43" s="55"/>
      <c r="O43" s="25"/>
      <c r="P43" s="45"/>
      <c r="Q43" s="26"/>
      <c r="R43" s="206" t="str">
        <f t="shared" si="4"/>
        <v>- -</v>
      </c>
      <c r="S43" s="207"/>
      <c r="T43" s="208">
        <f t="shared" si="5"/>
        <v>0</v>
      </c>
      <c r="U43" s="207"/>
      <c r="V43" s="209" t="str">
        <f t="shared" si="6"/>
        <v>- -</v>
      </c>
      <c r="W43" s="207"/>
      <c r="X43" s="209" t="str">
        <f t="shared" si="7"/>
        <v>- -</v>
      </c>
      <c r="Y43" s="210"/>
      <c r="Z43" s="211" t="str">
        <f t="shared" si="8"/>
        <v/>
      </c>
      <c r="AA43" s="205" t="str">
        <f t="shared" si="1"/>
        <v/>
      </c>
      <c r="AB43" s="178"/>
      <c r="AC43" s="62"/>
      <c r="AD43" s="223" t="str">
        <f t="shared" si="2"/>
        <v/>
      </c>
    </row>
    <row r="44" spans="1:30" s="13" customFormat="1" ht="20.100000000000001" customHeight="1" x14ac:dyDescent="0.2">
      <c r="A44" s="167">
        <f t="shared" si="3"/>
        <v>26</v>
      </c>
      <c r="B44" s="168"/>
      <c r="C44" s="170" t="str">
        <f>IF(Vorgaben!C44&lt;&gt;"",Vorgaben!C44,"")</f>
        <v>NN 26</v>
      </c>
      <c r="D44" s="170" t="str">
        <f>IF(Vorgaben!D44&lt;&gt;"",Vorgaben!D44,"")</f>
        <v>VN 26</v>
      </c>
      <c r="E44" s="90" t="str">
        <f>IF($C44&lt;&gt;"",IF(Vorgaben!F44&lt;&gt;"",Vorgaben!F44,""),"")</f>
        <v/>
      </c>
      <c r="F44" s="97"/>
      <c r="G44" s="98"/>
      <c r="H44" s="97"/>
      <c r="I44" s="39"/>
      <c r="J44" s="186">
        <f t="shared" si="0"/>
        <v>0</v>
      </c>
      <c r="K44" s="265"/>
      <c r="L44" s="266" t="str">
        <f t="shared" si="9"/>
        <v>- -</v>
      </c>
      <c r="M44" s="25"/>
      <c r="N44" s="55"/>
      <c r="O44" s="25"/>
      <c r="P44" s="45"/>
      <c r="Q44" s="26"/>
      <c r="R44" s="206" t="str">
        <f t="shared" si="4"/>
        <v>- -</v>
      </c>
      <c r="S44" s="207"/>
      <c r="T44" s="208">
        <f t="shared" si="5"/>
        <v>0</v>
      </c>
      <c r="U44" s="207"/>
      <c r="V44" s="209" t="str">
        <f t="shared" si="6"/>
        <v>- -</v>
      </c>
      <c r="W44" s="207"/>
      <c r="X44" s="209" t="str">
        <f t="shared" si="7"/>
        <v>- -</v>
      </c>
      <c r="Y44" s="210"/>
      <c r="Z44" s="211" t="str">
        <f t="shared" si="8"/>
        <v/>
      </c>
      <c r="AA44" s="205" t="str">
        <f t="shared" si="1"/>
        <v/>
      </c>
      <c r="AB44" s="178"/>
      <c r="AC44" s="62"/>
      <c r="AD44" s="223" t="str">
        <f t="shared" si="2"/>
        <v/>
      </c>
    </row>
    <row r="45" spans="1:30" s="13" customFormat="1" ht="20.100000000000001" customHeight="1" x14ac:dyDescent="0.2">
      <c r="A45" s="167">
        <f t="shared" si="3"/>
        <v>27</v>
      </c>
      <c r="B45" s="168"/>
      <c r="C45" s="170" t="str">
        <f>IF(Vorgaben!C45&lt;&gt;"",Vorgaben!C45,"")</f>
        <v>NN 27</v>
      </c>
      <c r="D45" s="170" t="str">
        <f>IF(Vorgaben!D45&lt;&gt;"",Vorgaben!D45,"")</f>
        <v>VN 27</v>
      </c>
      <c r="E45" s="90" t="str">
        <f>IF($C45&lt;&gt;"",IF(Vorgaben!F45&lt;&gt;"",Vorgaben!F45,""),"")</f>
        <v/>
      </c>
      <c r="F45" s="97"/>
      <c r="G45" s="98"/>
      <c r="H45" s="97"/>
      <c r="I45" s="39"/>
      <c r="J45" s="186">
        <f t="shared" si="0"/>
        <v>0</v>
      </c>
      <c r="K45" s="265"/>
      <c r="L45" s="266" t="str">
        <f t="shared" si="9"/>
        <v>- -</v>
      </c>
      <c r="M45" s="25"/>
      <c r="N45" s="55"/>
      <c r="O45" s="25"/>
      <c r="P45" s="45"/>
      <c r="Q45" s="26"/>
      <c r="R45" s="206" t="str">
        <f t="shared" si="4"/>
        <v>- -</v>
      </c>
      <c r="S45" s="207"/>
      <c r="T45" s="208">
        <f t="shared" si="5"/>
        <v>0</v>
      </c>
      <c r="U45" s="207"/>
      <c r="V45" s="209" t="str">
        <f t="shared" si="6"/>
        <v>- -</v>
      </c>
      <c r="W45" s="207"/>
      <c r="X45" s="209" t="str">
        <f t="shared" si="7"/>
        <v>- -</v>
      </c>
      <c r="Y45" s="210"/>
      <c r="Z45" s="211" t="str">
        <f t="shared" si="8"/>
        <v/>
      </c>
      <c r="AA45" s="205" t="str">
        <f t="shared" si="1"/>
        <v/>
      </c>
      <c r="AB45" s="178"/>
      <c r="AC45" s="62"/>
      <c r="AD45" s="223" t="str">
        <f t="shared" si="2"/>
        <v/>
      </c>
    </row>
    <row r="46" spans="1:30" s="13" customFormat="1" ht="20.100000000000001" customHeight="1" x14ac:dyDescent="0.2">
      <c r="A46" s="167">
        <f t="shared" si="3"/>
        <v>28</v>
      </c>
      <c r="B46" s="168"/>
      <c r="C46" s="170" t="str">
        <f>IF(Vorgaben!C46&lt;&gt;"",Vorgaben!C46,"")</f>
        <v>NN 28</v>
      </c>
      <c r="D46" s="170" t="str">
        <f>IF(Vorgaben!D46&lt;&gt;"",Vorgaben!D46,"")</f>
        <v>VN 28</v>
      </c>
      <c r="E46" s="90" t="str">
        <f>IF($C46&lt;&gt;"",IF(Vorgaben!F46&lt;&gt;"",Vorgaben!F46,""),"")</f>
        <v/>
      </c>
      <c r="F46" s="97"/>
      <c r="G46" s="98"/>
      <c r="H46" s="97"/>
      <c r="I46" s="43"/>
      <c r="J46" s="186">
        <f t="shared" si="0"/>
        <v>0</v>
      </c>
      <c r="K46" s="187"/>
      <c r="L46" s="266" t="str">
        <f t="shared" si="9"/>
        <v>- -</v>
      </c>
      <c r="M46" s="25"/>
      <c r="N46" s="55"/>
      <c r="O46" s="54"/>
      <c r="P46" s="45"/>
      <c r="Q46" s="26"/>
      <c r="R46" s="206" t="str">
        <f>IF($C46&lt;&gt;"",IF(OR(L46="x",N46="j"),IF(P46="","- -",(5*$F46+3*$H46+2*$P46)/10),"- -"),"")</f>
        <v>- -</v>
      </c>
      <c r="S46" s="207"/>
      <c r="T46" s="208">
        <f>IF($C46&lt;&gt;"",IF(J46=0,H46,"- -"),"")</f>
        <v>0</v>
      </c>
      <c r="U46" s="207"/>
      <c r="V46" s="209" t="str">
        <f>IF($C46&lt;&gt;"",IF(J46&lt;&gt;1,"- -",IF(AND($AC46&lt;&gt;"",$AD46=""),$AC46,"f")),"")</f>
        <v>- -</v>
      </c>
      <c r="W46" s="207"/>
      <c r="X46" s="209" t="str">
        <f>IF($C46&lt;&gt;"",IF(AND(J46=2,N46="n"),(F46+H46)/2,"- -"),"")</f>
        <v>- -</v>
      </c>
      <c r="Y46" s="210"/>
      <c r="Z46" s="211" t="str">
        <f>IF($C46&lt;&gt;"",IF(OR(F46="",H46=""),"",IF(OR(R46="- -",R46=""),"",ROUND(R46-0.05,0))&amp;IF(T46="- -","",T46)&amp;IF(OR(V46="- -",V46="f"),"",V46)&amp;IF(X46="- -","",X46)),"")</f>
        <v/>
      </c>
      <c r="AA46" s="205" t="str">
        <f t="shared" si="1"/>
        <v/>
      </c>
      <c r="AB46" s="178"/>
      <c r="AC46" s="62"/>
      <c r="AD46" s="223" t="str">
        <f t="shared" si="2"/>
        <v/>
      </c>
    </row>
    <row r="47" spans="1:30" s="13" customFormat="1" ht="20.100000000000001" customHeight="1" x14ac:dyDescent="0.2">
      <c r="A47" s="167">
        <f t="shared" si="3"/>
        <v>29</v>
      </c>
      <c r="B47" s="168"/>
      <c r="C47" s="170" t="str">
        <f>IF(Vorgaben!C47&lt;&gt;"",Vorgaben!C47,"")</f>
        <v>NN 29</v>
      </c>
      <c r="D47" s="170" t="str">
        <f>IF(Vorgaben!D47&lt;&gt;"",Vorgaben!D47,"")</f>
        <v>VN 29</v>
      </c>
      <c r="E47" s="90" t="str">
        <f>IF($C47&lt;&gt;"",IF(Vorgaben!F47&lt;&gt;"",Vorgaben!F47,""),"")</f>
        <v/>
      </c>
      <c r="F47" s="97"/>
      <c r="G47" s="98"/>
      <c r="H47" s="97"/>
      <c r="I47" s="43"/>
      <c r="J47" s="186">
        <f t="shared" si="0"/>
        <v>0</v>
      </c>
      <c r="K47" s="187"/>
      <c r="L47" s="266" t="str">
        <f t="shared" si="9"/>
        <v>- -</v>
      </c>
      <c r="M47" s="25"/>
      <c r="N47" s="55"/>
      <c r="O47" s="54"/>
      <c r="P47" s="45"/>
      <c r="Q47" s="26"/>
      <c r="R47" s="206" t="str">
        <f t="shared" ref="R47:R54" si="10">IF($C47&lt;&gt;"",IF(OR(L47="x",N47="j"),IF(P47="","- -",(5*$F47+3*$H47+2*$P47)/10),"- -"),"")</f>
        <v>- -</v>
      </c>
      <c r="S47" s="207"/>
      <c r="T47" s="208">
        <f t="shared" ref="T47:T54" si="11">IF($C47&lt;&gt;"",IF(J47=0,H47,"- -"),"")</f>
        <v>0</v>
      </c>
      <c r="U47" s="207"/>
      <c r="V47" s="209" t="str">
        <f t="shared" ref="V47:V54" si="12">IF($C47&lt;&gt;"",IF(J47&lt;&gt;1,"- -",IF(AND($AC47&lt;&gt;"",$AD47=""),$AC47,"f")),"")</f>
        <v>- -</v>
      </c>
      <c r="W47" s="207"/>
      <c r="X47" s="209" t="str">
        <f t="shared" ref="X47:X54" si="13">IF($C47&lt;&gt;"",IF(AND(J47=2,N47="n"),(F47+H47)/2,"- -"),"")</f>
        <v>- -</v>
      </c>
      <c r="Y47" s="210"/>
      <c r="Z47" s="211" t="str">
        <f t="shared" ref="Z47:Z54" si="14">IF($C47&lt;&gt;"",IF(OR(F47="",H47=""),"",IF(OR(R47="- -",R47=""),"",ROUND(R47-0.05,0))&amp;IF(T47="- -","",T47)&amp;IF(OR(V47="- -",V47="f"),"",V47)&amp;IF(X47="- -","",X47)),"")</f>
        <v/>
      </c>
      <c r="AA47" s="205" t="str">
        <f t="shared" si="1"/>
        <v/>
      </c>
      <c r="AB47" s="178"/>
      <c r="AC47" s="62"/>
      <c r="AD47" s="223" t="str">
        <f t="shared" si="2"/>
        <v/>
      </c>
    </row>
    <row r="48" spans="1:30" s="13" customFormat="1" ht="20.100000000000001" customHeight="1" x14ac:dyDescent="0.2">
      <c r="A48" s="167">
        <f t="shared" si="3"/>
        <v>30</v>
      </c>
      <c r="B48" s="168"/>
      <c r="C48" s="170" t="str">
        <f>IF(Vorgaben!C48&lt;&gt;"",Vorgaben!C48,"")</f>
        <v>NN 30</v>
      </c>
      <c r="D48" s="170" t="str">
        <f>IF(Vorgaben!D48&lt;&gt;"",Vorgaben!D48,"")</f>
        <v>VN 30</v>
      </c>
      <c r="E48" s="90" t="str">
        <f>IF($C48&lt;&gt;"",IF(Vorgaben!F48&lt;&gt;"",Vorgaben!F48,""),"")</f>
        <v/>
      </c>
      <c r="F48" s="97"/>
      <c r="G48" s="98"/>
      <c r="H48" s="97"/>
      <c r="I48" s="43"/>
      <c r="J48" s="186">
        <f t="shared" si="0"/>
        <v>0</v>
      </c>
      <c r="K48" s="187"/>
      <c r="L48" s="266" t="str">
        <f t="shared" si="9"/>
        <v>- -</v>
      </c>
      <c r="M48" s="25"/>
      <c r="N48" s="55"/>
      <c r="O48" s="54"/>
      <c r="P48" s="45"/>
      <c r="Q48" s="26"/>
      <c r="R48" s="206" t="str">
        <f t="shared" si="10"/>
        <v>- -</v>
      </c>
      <c r="S48" s="207"/>
      <c r="T48" s="208">
        <f t="shared" si="11"/>
        <v>0</v>
      </c>
      <c r="U48" s="207"/>
      <c r="V48" s="209" t="str">
        <f t="shared" si="12"/>
        <v>- -</v>
      </c>
      <c r="W48" s="207"/>
      <c r="X48" s="209" t="str">
        <f t="shared" si="13"/>
        <v>- -</v>
      </c>
      <c r="Y48" s="210"/>
      <c r="Z48" s="211" t="str">
        <f t="shared" si="14"/>
        <v/>
      </c>
      <c r="AA48" s="205" t="str">
        <f t="shared" si="1"/>
        <v/>
      </c>
      <c r="AB48" s="178"/>
      <c r="AC48" s="62"/>
      <c r="AD48" s="223" t="str">
        <f t="shared" si="2"/>
        <v/>
      </c>
    </row>
    <row r="49" spans="1:30" s="13" customFormat="1" ht="20.100000000000001" customHeight="1" x14ac:dyDescent="0.2">
      <c r="A49" s="167">
        <f t="shared" si="3"/>
        <v>31</v>
      </c>
      <c r="B49" s="168"/>
      <c r="C49" s="170" t="str">
        <f>IF(Vorgaben!C49&lt;&gt;"",Vorgaben!C49,"")</f>
        <v>NN 31</v>
      </c>
      <c r="D49" s="170" t="str">
        <f>IF(Vorgaben!D49&lt;&gt;"",Vorgaben!D49,"")</f>
        <v>VN 31</v>
      </c>
      <c r="E49" s="90" t="str">
        <f>IF($C49&lt;&gt;"",IF(Vorgaben!F49&lt;&gt;"",Vorgaben!F49,""),"")</f>
        <v/>
      </c>
      <c r="F49" s="97"/>
      <c r="G49" s="98"/>
      <c r="H49" s="97"/>
      <c r="I49" s="43"/>
      <c r="J49" s="186">
        <f t="shared" si="0"/>
        <v>0</v>
      </c>
      <c r="K49" s="187"/>
      <c r="L49" s="266" t="str">
        <f t="shared" si="9"/>
        <v>- -</v>
      </c>
      <c r="M49" s="25"/>
      <c r="N49" s="55"/>
      <c r="O49" s="54"/>
      <c r="P49" s="45"/>
      <c r="Q49" s="26"/>
      <c r="R49" s="206" t="str">
        <f t="shared" si="10"/>
        <v>- -</v>
      </c>
      <c r="S49" s="207"/>
      <c r="T49" s="208">
        <f t="shared" si="11"/>
        <v>0</v>
      </c>
      <c r="U49" s="207"/>
      <c r="V49" s="209" t="str">
        <f t="shared" si="12"/>
        <v>- -</v>
      </c>
      <c r="W49" s="207"/>
      <c r="X49" s="209" t="str">
        <f t="shared" si="13"/>
        <v>- -</v>
      </c>
      <c r="Y49" s="210"/>
      <c r="Z49" s="211" t="str">
        <f t="shared" si="14"/>
        <v/>
      </c>
      <c r="AA49" s="205" t="str">
        <f t="shared" si="1"/>
        <v/>
      </c>
      <c r="AB49" s="178"/>
      <c r="AC49" s="62"/>
      <c r="AD49" s="223" t="str">
        <f t="shared" si="2"/>
        <v/>
      </c>
    </row>
    <row r="50" spans="1:30" s="13" customFormat="1" ht="20.100000000000001" customHeight="1" x14ac:dyDescent="0.2">
      <c r="A50" s="167">
        <f t="shared" si="3"/>
        <v>32</v>
      </c>
      <c r="B50" s="168"/>
      <c r="C50" s="170" t="str">
        <f>IF(Vorgaben!C50&lt;&gt;"",Vorgaben!C50,"")</f>
        <v>NN 32</v>
      </c>
      <c r="D50" s="170" t="str">
        <f>IF(Vorgaben!D50&lt;&gt;"",Vorgaben!D50,"")</f>
        <v>VN 32</v>
      </c>
      <c r="E50" s="90" t="str">
        <f>IF($C50&lt;&gt;"",IF(Vorgaben!F50&lt;&gt;"",Vorgaben!F50,""),"")</f>
        <v/>
      </c>
      <c r="F50" s="97"/>
      <c r="G50" s="98"/>
      <c r="H50" s="97"/>
      <c r="I50" s="43"/>
      <c r="J50" s="186">
        <f t="shared" si="0"/>
        <v>0</v>
      </c>
      <c r="K50" s="187"/>
      <c r="L50" s="266" t="str">
        <f t="shared" si="9"/>
        <v>- -</v>
      </c>
      <c r="M50" s="25"/>
      <c r="N50" s="55"/>
      <c r="O50" s="54"/>
      <c r="P50" s="45"/>
      <c r="Q50" s="26"/>
      <c r="R50" s="206" t="str">
        <f t="shared" si="10"/>
        <v>- -</v>
      </c>
      <c r="S50" s="207"/>
      <c r="T50" s="208">
        <f t="shared" si="11"/>
        <v>0</v>
      </c>
      <c r="U50" s="207"/>
      <c r="V50" s="209" t="str">
        <f t="shared" si="12"/>
        <v>- -</v>
      </c>
      <c r="W50" s="207"/>
      <c r="X50" s="209" t="str">
        <f t="shared" si="13"/>
        <v>- -</v>
      </c>
      <c r="Y50" s="210"/>
      <c r="Z50" s="211" t="str">
        <f t="shared" si="14"/>
        <v/>
      </c>
      <c r="AA50" s="205" t="str">
        <f t="shared" si="1"/>
        <v/>
      </c>
      <c r="AB50" s="178"/>
      <c r="AC50" s="62"/>
      <c r="AD50" s="223" t="str">
        <f t="shared" si="2"/>
        <v/>
      </c>
    </row>
    <row r="51" spans="1:30" s="13" customFormat="1" ht="20.100000000000001" customHeight="1" x14ac:dyDescent="0.2">
      <c r="A51" s="167">
        <f t="shared" si="3"/>
        <v>33</v>
      </c>
      <c r="B51" s="168"/>
      <c r="C51" s="170" t="str">
        <f>IF(Vorgaben!C51&lt;&gt;"",Vorgaben!C51,"")</f>
        <v>NN 33</v>
      </c>
      <c r="D51" s="170" t="str">
        <f>IF(Vorgaben!D51&lt;&gt;"",Vorgaben!D51,"")</f>
        <v>VN 33</v>
      </c>
      <c r="E51" s="90" t="str">
        <f>IF($C51&lt;&gt;"",IF(Vorgaben!F51&lt;&gt;"",Vorgaben!F51,""),"")</f>
        <v/>
      </c>
      <c r="F51" s="97"/>
      <c r="G51" s="98"/>
      <c r="H51" s="97"/>
      <c r="I51" s="43"/>
      <c r="J51" s="186">
        <f t="shared" si="0"/>
        <v>0</v>
      </c>
      <c r="K51" s="187"/>
      <c r="L51" s="266" t="str">
        <f t="shared" si="9"/>
        <v>- -</v>
      </c>
      <c r="M51" s="25"/>
      <c r="N51" s="55"/>
      <c r="O51" s="54"/>
      <c r="P51" s="45"/>
      <c r="Q51" s="26"/>
      <c r="R51" s="206" t="str">
        <f t="shared" si="10"/>
        <v>- -</v>
      </c>
      <c r="S51" s="207"/>
      <c r="T51" s="208">
        <f t="shared" si="11"/>
        <v>0</v>
      </c>
      <c r="U51" s="207"/>
      <c r="V51" s="209" t="str">
        <f t="shared" si="12"/>
        <v>- -</v>
      </c>
      <c r="W51" s="207"/>
      <c r="X51" s="209" t="str">
        <f t="shared" si="13"/>
        <v>- -</v>
      </c>
      <c r="Y51" s="210"/>
      <c r="Z51" s="211" t="str">
        <f t="shared" si="14"/>
        <v/>
      </c>
      <c r="AA51" s="205" t="str">
        <f t="shared" si="1"/>
        <v/>
      </c>
      <c r="AB51" s="178"/>
      <c r="AC51" s="62"/>
      <c r="AD51" s="223" t="str">
        <f t="shared" si="2"/>
        <v/>
      </c>
    </row>
    <row r="52" spans="1:30" s="13" customFormat="1" ht="20.100000000000001" customHeight="1" x14ac:dyDescent="0.2">
      <c r="A52" s="167">
        <f t="shared" si="3"/>
        <v>34</v>
      </c>
      <c r="B52" s="168"/>
      <c r="C52" s="170" t="str">
        <f>IF(Vorgaben!C52&lt;&gt;"",Vorgaben!C52,"")</f>
        <v>NN 34</v>
      </c>
      <c r="D52" s="170" t="str">
        <f>IF(Vorgaben!D52&lt;&gt;"",Vorgaben!D52,"")</f>
        <v>VN 34</v>
      </c>
      <c r="E52" s="90" t="str">
        <f>IF($C52&lt;&gt;"",IF(Vorgaben!F52&lt;&gt;"",Vorgaben!F52,""),"")</f>
        <v/>
      </c>
      <c r="F52" s="97"/>
      <c r="G52" s="98"/>
      <c r="H52" s="97"/>
      <c r="I52" s="43"/>
      <c r="J52" s="186">
        <f t="shared" si="0"/>
        <v>0</v>
      </c>
      <c r="K52" s="187"/>
      <c r="L52" s="266" t="str">
        <f t="shared" si="9"/>
        <v>- -</v>
      </c>
      <c r="M52" s="25"/>
      <c r="N52" s="55"/>
      <c r="O52" s="54"/>
      <c r="P52" s="45"/>
      <c r="Q52" s="26"/>
      <c r="R52" s="206" t="str">
        <f t="shared" si="10"/>
        <v>- -</v>
      </c>
      <c r="S52" s="207"/>
      <c r="T52" s="208">
        <f t="shared" si="11"/>
        <v>0</v>
      </c>
      <c r="U52" s="207"/>
      <c r="V52" s="209" t="str">
        <f t="shared" si="12"/>
        <v>- -</v>
      </c>
      <c r="W52" s="207"/>
      <c r="X52" s="209" t="str">
        <f t="shared" si="13"/>
        <v>- -</v>
      </c>
      <c r="Y52" s="210"/>
      <c r="Z52" s="211" t="str">
        <f t="shared" si="14"/>
        <v/>
      </c>
      <c r="AA52" s="205" t="str">
        <f t="shared" si="1"/>
        <v/>
      </c>
      <c r="AB52" s="178"/>
      <c r="AC52" s="62"/>
      <c r="AD52" s="223" t="str">
        <f t="shared" si="2"/>
        <v/>
      </c>
    </row>
    <row r="53" spans="1:30" s="13" customFormat="1" ht="20.100000000000001" customHeight="1" x14ac:dyDescent="0.2">
      <c r="A53" s="167">
        <f t="shared" si="3"/>
        <v>35</v>
      </c>
      <c r="B53" s="168"/>
      <c r="C53" s="170" t="str">
        <f>IF(Vorgaben!C53&lt;&gt;"",Vorgaben!C53,"")</f>
        <v>NN 35</v>
      </c>
      <c r="D53" s="170" t="str">
        <f>IF(Vorgaben!D53&lt;&gt;"",Vorgaben!D53,"")</f>
        <v>VN 35</v>
      </c>
      <c r="E53" s="90" t="str">
        <f>IF($C53&lt;&gt;"",IF(Vorgaben!F53&lt;&gt;"",Vorgaben!F53,""),"")</f>
        <v/>
      </c>
      <c r="F53" s="97"/>
      <c r="G53" s="98"/>
      <c r="H53" s="97"/>
      <c r="I53" s="43"/>
      <c r="J53" s="186">
        <f t="shared" si="0"/>
        <v>0</v>
      </c>
      <c r="K53" s="187"/>
      <c r="L53" s="266" t="str">
        <f t="shared" si="9"/>
        <v>- -</v>
      </c>
      <c r="M53" s="25"/>
      <c r="N53" s="55"/>
      <c r="O53" s="54"/>
      <c r="P53" s="45"/>
      <c r="Q53" s="26"/>
      <c r="R53" s="206" t="str">
        <f t="shared" si="10"/>
        <v>- -</v>
      </c>
      <c r="S53" s="207"/>
      <c r="T53" s="208">
        <f t="shared" si="11"/>
        <v>0</v>
      </c>
      <c r="U53" s="207"/>
      <c r="V53" s="209" t="str">
        <f t="shared" si="12"/>
        <v>- -</v>
      </c>
      <c r="W53" s="207"/>
      <c r="X53" s="209" t="str">
        <f t="shared" si="13"/>
        <v>- -</v>
      </c>
      <c r="Y53" s="210"/>
      <c r="Z53" s="211" t="str">
        <f t="shared" si="14"/>
        <v/>
      </c>
      <c r="AA53" s="205" t="str">
        <f t="shared" si="1"/>
        <v/>
      </c>
      <c r="AB53" s="178"/>
      <c r="AC53" s="62"/>
      <c r="AD53" s="223" t="str">
        <f t="shared" si="2"/>
        <v/>
      </c>
    </row>
    <row r="54" spans="1:30" s="13" customFormat="1" ht="20.100000000000001" customHeight="1" thickBot="1" x14ac:dyDescent="0.25">
      <c r="A54" s="167">
        <f t="shared" si="3"/>
        <v>36</v>
      </c>
      <c r="B54" s="168"/>
      <c r="C54" s="170" t="str">
        <f>IF(Vorgaben!C54&lt;&gt;"",Vorgaben!C54,"")</f>
        <v>NN 36</v>
      </c>
      <c r="D54" s="170" t="str">
        <f>IF(Vorgaben!D54&lt;&gt;"",Vorgaben!D54,"")</f>
        <v>VN 36</v>
      </c>
      <c r="E54" s="90" t="str">
        <f>IF($C54&lt;&gt;"",IF(Vorgaben!F54&lt;&gt;"",Vorgaben!F54,""),"")</f>
        <v/>
      </c>
      <c r="F54" s="97"/>
      <c r="G54" s="98"/>
      <c r="H54" s="97"/>
      <c r="I54" s="43"/>
      <c r="J54" s="186">
        <f t="shared" si="0"/>
        <v>0</v>
      </c>
      <c r="K54" s="187"/>
      <c r="L54" s="266" t="str">
        <f t="shared" si="9"/>
        <v>- -</v>
      </c>
      <c r="M54" s="25"/>
      <c r="N54" s="55"/>
      <c r="O54" s="54"/>
      <c r="P54" s="45"/>
      <c r="Q54" s="26"/>
      <c r="R54" s="206" t="str">
        <f t="shared" si="10"/>
        <v>- -</v>
      </c>
      <c r="S54" s="207"/>
      <c r="T54" s="208">
        <f t="shared" si="11"/>
        <v>0</v>
      </c>
      <c r="U54" s="207"/>
      <c r="V54" s="209" t="str">
        <f t="shared" si="12"/>
        <v>- -</v>
      </c>
      <c r="W54" s="207"/>
      <c r="X54" s="209" t="str">
        <f t="shared" si="13"/>
        <v>- -</v>
      </c>
      <c r="Y54" s="210"/>
      <c r="Z54" s="211" t="str">
        <f t="shared" si="14"/>
        <v/>
      </c>
      <c r="AA54" s="205" t="str">
        <f t="shared" si="1"/>
        <v/>
      </c>
      <c r="AB54" s="178"/>
      <c r="AC54" s="62"/>
      <c r="AD54" s="223" t="str">
        <f t="shared" si="2"/>
        <v/>
      </c>
    </row>
    <row r="55" spans="1:30" s="13" customFormat="1" ht="18" customHeight="1" thickTop="1" x14ac:dyDescent="0.2">
      <c r="A55" s="18"/>
      <c r="B55" s="19"/>
      <c r="C55" s="70"/>
      <c r="D55" s="70" t="s">
        <v>48</v>
      </c>
      <c r="E55" s="75"/>
      <c r="F55" s="41" t="str">
        <f>IF(ISERR(SUM(F$19:F$54)/COUNT(F$19:F$54)),"",SUM(F$19:F$54)/COUNT(F$19:F$54))</f>
        <v/>
      </c>
      <c r="G55" s="40"/>
      <c r="H55" s="41" t="str">
        <f>IF(ISERR(SUM(H$19:H$54)/COUNT(H$19:H$54)),"",SUM(H$19:H$54)/COUNT(H$19:H$54))</f>
        <v/>
      </c>
      <c r="I55" s="40"/>
      <c r="J55" s="20"/>
      <c r="K55" s="28"/>
      <c r="L55" s="21"/>
      <c r="M55" s="29"/>
      <c r="N55" s="30"/>
      <c r="O55" s="29"/>
      <c r="P55" s="46"/>
      <c r="Q55" s="31"/>
      <c r="R55" s="20"/>
      <c r="S55" s="27"/>
      <c r="T55" s="20"/>
      <c r="U55" s="27"/>
      <c r="V55" s="20"/>
      <c r="W55" s="27"/>
      <c r="X55" s="21"/>
      <c r="Y55" s="49"/>
      <c r="Z55" s="69" t="str">
        <f>IF(ISERR(SUM($AA$19:$AA$54)/COUNT($AA$19:$AA$54)),"",SUM($AA$19:$AA$54)/COUNT($AA$19:$AA$54))</f>
        <v/>
      </c>
      <c r="AA55" s="24"/>
      <c r="AB55" s="16"/>
      <c r="AD55" s="63"/>
    </row>
    <row r="56" spans="1:30" s="13" customFormat="1" ht="18" customHeight="1" thickBot="1" x14ac:dyDescent="0.25">
      <c r="A56" s="18"/>
      <c r="B56" s="19"/>
      <c r="C56" s="71"/>
      <c r="D56" s="71"/>
      <c r="E56" s="78"/>
      <c r="F56" s="42"/>
      <c r="G56" s="32"/>
      <c r="H56" s="42"/>
      <c r="I56" s="32"/>
      <c r="J56" s="32"/>
      <c r="K56" s="34"/>
      <c r="L56" s="32"/>
      <c r="M56" s="35"/>
      <c r="N56" s="32"/>
      <c r="O56" s="35"/>
      <c r="P56" s="47"/>
      <c r="Q56" s="36"/>
      <c r="R56" s="48"/>
      <c r="S56" s="33"/>
      <c r="T56" s="32"/>
      <c r="U56" s="33"/>
      <c r="V56" s="32"/>
      <c r="W56" s="33"/>
      <c r="X56" s="32"/>
      <c r="Y56" s="50"/>
      <c r="Z56" s="32"/>
      <c r="AA56" s="24"/>
      <c r="AB56" s="16"/>
      <c r="AD56" s="63"/>
    </row>
    <row r="57" spans="1:30" s="13" customFormat="1" ht="13.5" thickTop="1" x14ac:dyDescent="0.2">
      <c r="A57" s="37"/>
      <c r="C57" s="101" t="s">
        <v>265</v>
      </c>
      <c r="D57" s="101"/>
      <c r="E57" s="101"/>
      <c r="F57" s="102"/>
      <c r="G57" s="102"/>
      <c r="H57" s="102"/>
      <c r="I57" s="102"/>
      <c r="J57" s="102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16"/>
      <c r="AB57" s="16"/>
      <c r="AD57" s="63"/>
    </row>
    <row r="58" spans="1:30" s="13" customFormat="1" x14ac:dyDescent="0.2">
      <c r="A58" s="37"/>
      <c r="C58" s="53" t="s">
        <v>266</v>
      </c>
      <c r="D58" s="53"/>
      <c r="E58" s="53"/>
      <c r="F58" s="53"/>
      <c r="G58" s="53"/>
      <c r="H58" s="53"/>
      <c r="I58" s="53"/>
      <c r="J58" s="53"/>
      <c r="K58" s="16"/>
      <c r="L58" s="16"/>
      <c r="M58" s="16"/>
      <c r="N58" s="57" t="s">
        <v>92</v>
      </c>
      <c r="O58" s="57"/>
      <c r="P58" s="57"/>
      <c r="Q58" s="57"/>
      <c r="R58" s="57"/>
      <c r="S58" s="57"/>
      <c r="T58" s="57"/>
      <c r="U58" s="57"/>
      <c r="V58" s="16"/>
      <c r="W58" s="16"/>
      <c r="X58" s="16"/>
      <c r="Y58" s="16"/>
      <c r="Z58" s="16"/>
      <c r="AA58" s="16"/>
      <c r="AB58" s="16"/>
      <c r="AD58" s="63"/>
    </row>
    <row r="59" spans="1:30" s="13" customFormat="1" x14ac:dyDescent="0.2">
      <c r="A59" s="37"/>
      <c r="C59" s="60" t="s">
        <v>267</v>
      </c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57" t="s">
        <v>86</v>
      </c>
      <c r="O59" s="57"/>
      <c r="P59" s="57"/>
      <c r="Q59" s="57"/>
      <c r="R59" s="60"/>
      <c r="S59" s="16"/>
      <c r="T59" s="16"/>
      <c r="U59" s="16"/>
      <c r="V59" s="16"/>
      <c r="W59" s="16"/>
      <c r="X59" s="16"/>
      <c r="Y59" s="16"/>
      <c r="Z59" s="16"/>
      <c r="AA59" s="16"/>
      <c r="AB59" s="16"/>
      <c r="AD59" s="63"/>
    </row>
    <row r="60" spans="1:30" s="13" customFormat="1" x14ac:dyDescent="0.2">
      <c r="A60" s="37"/>
      <c r="C60" s="16" t="s">
        <v>264</v>
      </c>
      <c r="D60" s="16"/>
      <c r="E60" s="16"/>
      <c r="F60" s="16"/>
      <c r="G60" s="16"/>
      <c r="H60" s="16"/>
      <c r="I60" s="16"/>
      <c r="J60" s="16"/>
      <c r="K60" s="16"/>
      <c r="L60" s="58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D60" s="63"/>
    </row>
    <row r="61" spans="1:30" s="13" customFormat="1" x14ac:dyDescent="0.2">
      <c r="A61" s="37"/>
      <c r="C61" s="53" t="s">
        <v>270</v>
      </c>
      <c r="D61" s="53"/>
      <c r="E61" s="53"/>
      <c r="F61" s="53"/>
      <c r="G61" s="53"/>
      <c r="H61" s="53"/>
      <c r="I61" s="53"/>
      <c r="J61" s="53"/>
      <c r="K61" s="16"/>
      <c r="L61" s="58" t="s">
        <v>353</v>
      </c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D61" s="63"/>
    </row>
    <row r="62" spans="1:30" s="13" customFormat="1" x14ac:dyDescent="0.2">
      <c r="A62" s="37"/>
      <c r="C62" s="16"/>
      <c r="D62" s="16"/>
      <c r="E62" s="16"/>
      <c r="F62" s="16"/>
      <c r="G62" s="16"/>
      <c r="H62" s="16"/>
      <c r="I62" s="16"/>
      <c r="J62" s="16"/>
      <c r="K62" s="16"/>
      <c r="L62" s="58" t="s">
        <v>352</v>
      </c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D62" s="63"/>
    </row>
    <row r="63" spans="1:30" s="13" customFormat="1" x14ac:dyDescent="0.2">
      <c r="A63" s="37"/>
      <c r="C63" s="16"/>
      <c r="D63" s="16"/>
      <c r="E63" s="16"/>
      <c r="F63" s="16"/>
      <c r="G63" s="16"/>
      <c r="H63" s="16"/>
      <c r="P63" s="59" t="s">
        <v>215</v>
      </c>
      <c r="AD63" s="63"/>
    </row>
    <row r="64" spans="1:30" s="13" customFormat="1" x14ac:dyDescent="0.2">
      <c r="A64" s="37"/>
      <c r="R64" s="59" t="s">
        <v>91</v>
      </c>
      <c r="AD64" s="63"/>
    </row>
    <row r="65" spans="1:30" s="13" customFormat="1" x14ac:dyDescent="0.2">
      <c r="A65" s="37"/>
      <c r="C65" s="96" t="s">
        <v>251</v>
      </c>
      <c r="D65" s="95"/>
      <c r="E65" s="95"/>
      <c r="F65" s="95"/>
      <c r="G65" s="95"/>
      <c r="H65" s="95"/>
      <c r="I65" s="95"/>
      <c r="J65" s="95"/>
      <c r="R65" s="67"/>
      <c r="S65" s="67"/>
      <c r="T65" s="67"/>
      <c r="U65" s="67"/>
      <c r="V65" s="67"/>
      <c r="W65" s="67"/>
      <c r="X65" s="67"/>
      <c r="Y65" s="67"/>
      <c r="Z65" s="68" t="s">
        <v>127</v>
      </c>
      <c r="AD65" s="63"/>
    </row>
    <row r="66" spans="1:30" s="13" customFormat="1" x14ac:dyDescent="0.2">
      <c r="A66" s="37"/>
      <c r="AD66" s="63"/>
    </row>
    <row r="67" spans="1:30" s="13" customFormat="1" x14ac:dyDescent="0.2">
      <c r="A67" s="37"/>
      <c r="AD67" s="63"/>
    </row>
    <row r="68" spans="1:30" s="13" customFormat="1" x14ac:dyDescent="0.2">
      <c r="AD68" s="63"/>
    </row>
    <row r="69" spans="1:30" s="13" customFormat="1" x14ac:dyDescent="0.2">
      <c r="AD69" s="63"/>
    </row>
    <row r="70" spans="1:30" s="13" customFormat="1" x14ac:dyDescent="0.2">
      <c r="AD70" s="63"/>
    </row>
    <row r="71" spans="1:30" s="13" customFormat="1" x14ac:dyDescent="0.2">
      <c r="AD71" s="63"/>
    </row>
    <row r="72" spans="1:30" s="13" customFormat="1" x14ac:dyDescent="0.2">
      <c r="AD72" s="63"/>
    </row>
    <row r="73" spans="1:30" s="13" customFormat="1" x14ac:dyDescent="0.2">
      <c r="AD73" s="63"/>
    </row>
    <row r="74" spans="1:30" s="13" customFormat="1" x14ac:dyDescent="0.2">
      <c r="AD74" s="63"/>
    </row>
    <row r="75" spans="1:30" s="13" customFormat="1" x14ac:dyDescent="0.2">
      <c r="AD75" s="63"/>
    </row>
    <row r="76" spans="1:30" s="13" customFormat="1" x14ac:dyDescent="0.2">
      <c r="AD76" s="63"/>
    </row>
    <row r="77" spans="1:30" s="13" customFormat="1" x14ac:dyDescent="0.2">
      <c r="AD77" s="63"/>
    </row>
    <row r="78" spans="1:30" s="13" customFormat="1" x14ac:dyDescent="0.2">
      <c r="AD78" s="63"/>
    </row>
    <row r="79" spans="1:30" s="13" customFormat="1" x14ac:dyDescent="0.2">
      <c r="AD79" s="63"/>
    </row>
    <row r="80" spans="1:30" s="13" customFormat="1" x14ac:dyDescent="0.2">
      <c r="AD80" s="63"/>
    </row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="13" customFormat="1" x14ac:dyDescent="0.2"/>
    <row r="146" s="13" customFormat="1" x14ac:dyDescent="0.2"/>
    <row r="147" s="13" customFormat="1" x14ac:dyDescent="0.2"/>
    <row r="148" s="13" customFormat="1" x14ac:dyDescent="0.2"/>
    <row r="149" s="13" customFormat="1" x14ac:dyDescent="0.2"/>
    <row r="150" s="13" customFormat="1" x14ac:dyDescent="0.2"/>
    <row r="151" s="13" customFormat="1" x14ac:dyDescent="0.2"/>
    <row r="152" s="13" customFormat="1" x14ac:dyDescent="0.2"/>
    <row r="153" s="13" customFormat="1" x14ac:dyDescent="0.2"/>
  </sheetData>
  <sheetProtection sheet="1" objects="1" scenarios="1"/>
  <mergeCells count="7">
    <mergeCell ref="E5:E6"/>
    <mergeCell ref="AC14:AC15"/>
    <mergeCell ref="K17:P17"/>
    <mergeCell ref="F14:F15"/>
    <mergeCell ref="H14:H15"/>
    <mergeCell ref="N14:N15"/>
    <mergeCell ref="P14:P15"/>
  </mergeCells>
  <phoneticPr fontId="10" type="noConversion"/>
  <conditionalFormatting sqref="P19:P54">
    <cfRule type="expression" dxfId="75" priority="1" stopIfTrue="1">
      <formula>AND($N19="j",P19="")</formula>
    </cfRule>
    <cfRule type="expression" dxfId="74" priority="2" stopIfTrue="1">
      <formula>AND($L19="x",P19="")</formula>
    </cfRule>
  </conditionalFormatting>
  <conditionalFormatting sqref="V19:V54">
    <cfRule type="cellIs" dxfId="73" priority="3" stopIfTrue="1" operator="equal">
      <formula>"f"</formula>
    </cfRule>
  </conditionalFormatting>
  <conditionalFormatting sqref="AD19:AD54">
    <cfRule type="cellIs" dxfId="72" priority="4" stopIfTrue="1" operator="equal">
      <formula>"fehlende Zensur"</formula>
    </cfRule>
    <cfRule type="cellIs" dxfId="71" priority="5" stopIfTrue="1" operator="equal">
      <formula>"falsche Zensur"</formula>
    </cfRule>
  </conditionalFormatting>
  <conditionalFormatting sqref="E19:E54">
    <cfRule type="cellIs" dxfId="70" priority="6" stopIfTrue="1" operator="equal">
      <formula>"F"</formula>
    </cfRule>
    <cfRule type="cellIs" dxfId="69" priority="7" stopIfTrue="1" operator="equal">
      <formula>"L"</formula>
    </cfRule>
  </conditionalFormatting>
  <conditionalFormatting sqref="H19:H54 F19:F53">
    <cfRule type="expression" dxfId="68" priority="8" stopIfTrue="1">
      <formula>IF($C19&lt;&gt;"",IF(F19="",TRUE,FALSE))</formula>
    </cfRule>
    <cfRule type="expression" dxfId="67" priority="9" stopIfTrue="1">
      <formula>IF(AND($C19&lt;&gt;"",OR(F19&lt;1,F19&gt;6)),TRUE,FALSE)</formula>
    </cfRule>
    <cfRule type="expression" dxfId="66" priority="10" stopIfTrue="1">
      <formula>IF($C19="",IF(F19&lt;&gt;"",TRUE,FALSE))</formula>
    </cfRule>
  </conditionalFormatting>
  <conditionalFormatting sqref="J19:J52 J54">
    <cfRule type="expression" dxfId="65" priority="11" stopIfTrue="1">
      <formula>IF(AND(J19=1,$AC19=""),TRUE,FALSE)</formula>
    </cfRule>
    <cfRule type="expression" dxfId="64" priority="12" stopIfTrue="1">
      <formula>IF(AND(J19=2,$N19&lt;&gt;"n",(OR($N19="",$P19=""))),TRUE,FALSE)</formula>
    </cfRule>
    <cfRule type="expression" dxfId="63" priority="13" stopIfTrue="1">
      <formula>IF(AND($C19&lt;&gt;"",J19&gt;2,$P19=""),TRUE,FALSE)</formula>
    </cfRule>
  </conditionalFormatting>
  <conditionalFormatting sqref="F54">
    <cfRule type="expression" dxfId="62" priority="14" stopIfTrue="1">
      <formula>IF($C54&lt;&gt;"",IF(F54="",TRUE,FALSE))</formula>
    </cfRule>
    <cfRule type="expression" dxfId="61" priority="15" stopIfTrue="1">
      <formula>IF(AND($C54&lt;&gt;"",OR(F54&lt;1,F54&gt;6)),TRUE,FALSE)</formula>
    </cfRule>
    <cfRule type="expression" dxfId="60" priority="16" stopIfTrue="1">
      <formula>IF($C54="",IF(F54&lt;&gt;"",TRUE,FALSE))</formula>
    </cfRule>
  </conditionalFormatting>
  <conditionalFormatting sqref="J53">
    <cfRule type="expression" dxfId="59" priority="17" stopIfTrue="1">
      <formula>IF(AND(J53=1,$AC53=""),TRUE,FALSE)</formula>
    </cfRule>
    <cfRule type="expression" dxfId="58" priority="18" stopIfTrue="1">
      <formula>IF(AND(J53=2,$N53&lt;&gt;"n",(OR($N53="",$P53=""))),TRUE,FALSE)</formula>
    </cfRule>
    <cfRule type="expression" dxfId="57" priority="19" stopIfTrue="1">
      <formula>IF(AND($C53&lt;&gt;"",J53&gt;2,$P53=""),TRUE,FALSE)</formula>
    </cfRule>
  </conditionalFormatting>
  <conditionalFormatting sqref="AC20:AC54">
    <cfRule type="expression" dxfId="56" priority="20" stopIfTrue="1">
      <formula>IF(AND($J20=1,AC20=""),TRUE,FALSE)</formula>
    </cfRule>
    <cfRule type="expression" dxfId="55" priority="21" stopIfTrue="1">
      <formula>IF($AD20="falsche Zensur",TRUE,FALSE)</formula>
    </cfRule>
    <cfRule type="expression" dxfId="54" priority="22" stopIfTrue="1">
      <formula>IF(AND($J20&lt;&gt;1,AC20&lt;&gt;""),TRUE,FALSE)</formula>
    </cfRule>
  </conditionalFormatting>
  <conditionalFormatting sqref="N19:N54">
    <cfRule type="expression" dxfId="53" priority="23" stopIfTrue="1">
      <formula>AND($L19="frw. ?",N19="")</formula>
    </cfRule>
  </conditionalFormatting>
  <conditionalFormatting sqref="AC19">
    <cfRule type="expression" dxfId="52" priority="24" stopIfTrue="1">
      <formula>IF(AND($J19=1,AC19=""),TRUE,FALSE)</formula>
    </cfRule>
    <cfRule type="expression" dxfId="51" priority="25" stopIfTrue="1">
      <formula>IF($AD19="falsche Zensur",TRUE,FALSE)</formula>
    </cfRule>
    <cfRule type="expression" dxfId="50" priority="26" stopIfTrue="1">
      <formula>IF(AND($J19&lt;&gt;1,AC19&lt;&gt;""),TRUE,FALSE)</formula>
    </cfRule>
  </conditionalFormatting>
  <printOptions gridLinesSet="0"/>
  <pageMargins left="0.59055118110236227" right="0" top="0.59055118110236227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pageSetUpPr autoPageBreaks="0"/>
  </sheetPr>
  <dimension ref="A1:DQ153"/>
  <sheetViews>
    <sheetView showGridLines="0" workbookViewId="0">
      <selection activeCell="H19" sqref="H19"/>
    </sheetView>
  </sheetViews>
  <sheetFormatPr baseColWidth="10" defaultColWidth="10.7109375" defaultRowHeight="12.75" x14ac:dyDescent="0.2"/>
  <cols>
    <col min="1" max="1" width="3.7109375" style="9" customWidth="1"/>
    <col min="2" max="2" width="1.7109375" style="9" customWidth="1"/>
    <col min="3" max="3" width="14.5703125" style="9" customWidth="1"/>
    <col min="4" max="4" width="16.140625" style="9" customWidth="1"/>
    <col min="5" max="5" width="2.7109375" style="9" customWidth="1"/>
    <col min="6" max="6" width="4.7109375" style="9" customWidth="1"/>
    <col min="7" max="7" width="2.7109375" style="9" customWidth="1"/>
    <col min="8" max="8" width="4.7109375" style="9" customWidth="1"/>
    <col min="9" max="9" width="1.7109375" style="9" customWidth="1"/>
    <col min="10" max="10" width="3.7109375" style="9" customWidth="1"/>
    <col min="11" max="11" width="1.7109375" style="9" customWidth="1"/>
    <col min="12" max="12" width="5.7109375" style="9" customWidth="1"/>
    <col min="13" max="13" width="1.7109375" style="9" customWidth="1"/>
    <col min="14" max="14" width="4.7109375" style="9" customWidth="1"/>
    <col min="15" max="15" width="1.7109375" style="9" customWidth="1"/>
    <col min="16" max="16" width="3.7109375" style="9" customWidth="1"/>
    <col min="17" max="17" width="1.7109375" style="9" customWidth="1"/>
    <col min="18" max="18" width="3.7109375" style="9" customWidth="1"/>
    <col min="19" max="19" width="1.7109375" style="9" customWidth="1"/>
    <col min="20" max="20" width="3.7109375" style="9" customWidth="1"/>
    <col min="21" max="21" width="1.7109375" style="9" customWidth="1"/>
    <col min="22" max="22" width="3.7109375" style="9" customWidth="1"/>
    <col min="23" max="23" width="1.7109375" style="9" customWidth="1"/>
    <col min="24" max="24" width="3.7109375" style="9" customWidth="1"/>
    <col min="25" max="25" width="1.7109375" style="9" customWidth="1"/>
    <col min="26" max="27" width="3.7109375" style="9" customWidth="1"/>
    <col min="28" max="28" width="10.7109375" style="9"/>
    <col min="29" max="29" width="5.42578125" style="9" customWidth="1"/>
    <col min="30" max="30" width="14.5703125" style="9" customWidth="1"/>
    <col min="31" max="16384" width="10.7109375" style="9"/>
  </cols>
  <sheetData>
    <row r="1" spans="1:121" ht="15" x14ac:dyDescent="0.25">
      <c r="A1" s="226"/>
      <c r="B1" s="226"/>
      <c r="C1" s="224" t="s">
        <v>254</v>
      </c>
      <c r="D1" s="225" t="s">
        <v>406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1"/>
      <c r="X1" s="141"/>
      <c r="Y1" s="141"/>
      <c r="Z1" s="141"/>
      <c r="AA1" s="141"/>
      <c r="AB1" s="141"/>
      <c r="AC1" s="141"/>
      <c r="AD1" s="141"/>
      <c r="AE1" s="141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</row>
    <row r="2" spans="1:121" x14ac:dyDescent="0.2">
      <c r="A2" s="264"/>
      <c r="B2" s="226"/>
      <c r="C2" s="226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1"/>
      <c r="X2" s="141"/>
      <c r="Y2" s="141"/>
      <c r="Z2" s="141"/>
      <c r="AA2" s="141"/>
      <c r="AB2" s="141"/>
      <c r="AC2" s="141"/>
      <c r="AD2" s="141"/>
      <c r="AE2" s="141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</row>
    <row r="3" spans="1:121" x14ac:dyDescent="0.2">
      <c r="A3" s="264"/>
      <c r="B3" s="226"/>
      <c r="C3" s="134" t="s">
        <v>89</v>
      </c>
      <c r="D3" s="148"/>
      <c r="E3" s="227" t="s">
        <v>278</v>
      </c>
      <c r="F3" s="227"/>
      <c r="G3" s="227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1"/>
      <c r="X3" s="141"/>
      <c r="Y3" s="141"/>
      <c r="Z3" s="141"/>
      <c r="AA3" s="141"/>
      <c r="AB3" s="141"/>
      <c r="AC3" s="141"/>
      <c r="AD3" s="228"/>
      <c r="AE3" s="141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</row>
    <row r="4" spans="1:121" x14ac:dyDescent="0.2">
      <c r="A4" s="141"/>
      <c r="B4" s="141"/>
      <c r="C4" s="141"/>
      <c r="D4" s="148"/>
      <c r="E4" s="227" t="str">
        <f>IF(Vorgaben!$I$10="","","  ( "&amp;Vorgaben!$I$10&amp;" )")</f>
        <v xml:space="preserve">  ( N M )</v>
      </c>
      <c r="F4" s="227"/>
      <c r="G4" s="227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1"/>
      <c r="X4" s="141"/>
      <c r="Y4" s="141"/>
      <c r="Z4" s="141"/>
      <c r="AA4" s="141"/>
      <c r="AB4" s="141"/>
      <c r="AC4" s="141"/>
      <c r="AD4" s="228"/>
      <c r="AE4" s="141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</row>
    <row r="5" spans="1:121" x14ac:dyDescent="0.2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228"/>
      <c r="AE5" s="141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</row>
    <row r="6" spans="1:121" x14ac:dyDescent="0.2">
      <c r="A6" s="141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228"/>
      <c r="AE6" s="141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</row>
    <row r="7" spans="1:121" x14ac:dyDescent="0.2">
      <c r="A7" s="141"/>
      <c r="B7" s="141"/>
      <c r="C7" s="134" t="s">
        <v>213</v>
      </c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141"/>
      <c r="Z7" s="141"/>
      <c r="AA7" s="141"/>
      <c r="AB7" s="141"/>
      <c r="AC7" s="141"/>
      <c r="AD7" s="228"/>
      <c r="AE7" s="141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</row>
    <row r="8" spans="1:121" x14ac:dyDescent="0.2">
      <c r="A8" s="141"/>
      <c r="B8" s="141"/>
      <c r="C8" s="134" t="s">
        <v>214</v>
      </c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141"/>
      <c r="Z8" s="141"/>
      <c r="AA8" s="141"/>
      <c r="AB8" s="141"/>
      <c r="AC8" s="141"/>
      <c r="AD8" s="228"/>
      <c r="AE8" s="141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</row>
    <row r="9" spans="1:121" x14ac:dyDescent="0.2">
      <c r="A9" s="141"/>
      <c r="B9" s="141"/>
      <c r="C9" s="141" t="s">
        <v>212</v>
      </c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228"/>
      <c r="AE9" s="141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</row>
    <row r="10" spans="1:121" x14ac:dyDescent="0.2">
      <c r="A10" s="141"/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229" t="s">
        <v>166</v>
      </c>
      <c r="AD10" s="230"/>
      <c r="AE10" s="231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</row>
    <row r="11" spans="1:121" x14ac:dyDescent="0.2">
      <c r="A11" s="141"/>
      <c r="B11" s="141"/>
      <c r="C11" s="141" t="s">
        <v>348</v>
      </c>
      <c r="D11" s="232"/>
      <c r="E11" s="148"/>
      <c r="F11" s="148"/>
      <c r="G11" s="148"/>
      <c r="H11" s="232"/>
      <c r="I11" s="232"/>
      <c r="J11" s="232"/>
      <c r="K11" s="232"/>
      <c r="L11" s="232"/>
      <c r="M11" s="232"/>
      <c r="N11" s="232"/>
      <c r="O11" s="232"/>
      <c r="P11" s="232"/>
      <c r="Q11" s="148"/>
      <c r="R11" s="148"/>
      <c r="S11" s="148"/>
      <c r="T11" s="148"/>
      <c r="U11" s="148"/>
      <c r="V11" s="148"/>
      <c r="W11" s="148"/>
      <c r="X11" s="141"/>
      <c r="Y11" s="141"/>
      <c r="Z11" s="141"/>
      <c r="AA11" s="141"/>
      <c r="AB11" s="141"/>
      <c r="AC11" s="231" t="s">
        <v>122</v>
      </c>
      <c r="AD11" s="230"/>
      <c r="AE11" s="231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</row>
    <row r="12" spans="1:121" x14ac:dyDescent="0.2">
      <c r="A12" s="141"/>
      <c r="B12" s="141"/>
      <c r="C12" s="148"/>
      <c r="D12" s="148"/>
      <c r="E12" s="148"/>
      <c r="F12" s="148"/>
      <c r="G12" s="148"/>
      <c r="H12" s="148"/>
      <c r="I12" s="148"/>
      <c r="J12" s="148"/>
      <c r="K12" s="148"/>
      <c r="L12" s="233" t="s">
        <v>349</v>
      </c>
      <c r="M12" s="233"/>
      <c r="N12" s="233"/>
      <c r="O12" s="233"/>
      <c r="P12" s="233"/>
      <c r="Q12" s="233"/>
      <c r="R12" s="233"/>
      <c r="S12" s="233"/>
      <c r="T12" s="233"/>
      <c r="U12" s="233"/>
      <c r="V12" s="233"/>
      <c r="W12" s="233"/>
      <c r="X12" s="234"/>
      <c r="Y12" s="234"/>
      <c r="Z12" s="234"/>
      <c r="AA12" s="141"/>
      <c r="AB12" s="141"/>
      <c r="AC12" s="176" t="s">
        <v>123</v>
      </c>
      <c r="AD12" s="230"/>
      <c r="AE12" s="231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</row>
    <row r="13" spans="1:121" x14ac:dyDescent="0.2">
      <c r="A13" s="141"/>
      <c r="B13" s="141"/>
      <c r="C13" s="148"/>
      <c r="D13" s="148"/>
      <c r="E13" s="148"/>
      <c r="F13" s="148" t="s">
        <v>165</v>
      </c>
      <c r="G13" s="148"/>
      <c r="H13" s="148"/>
      <c r="I13" s="148"/>
      <c r="J13" s="148"/>
      <c r="K13" s="148"/>
      <c r="L13" s="148"/>
      <c r="M13" s="148" t="s">
        <v>350</v>
      </c>
      <c r="N13" s="140"/>
      <c r="O13" s="148"/>
      <c r="P13" s="148"/>
      <c r="Q13" s="148"/>
      <c r="R13" s="148"/>
      <c r="S13" s="148"/>
      <c r="T13" s="148"/>
      <c r="U13" s="148"/>
      <c r="V13" s="148"/>
      <c r="W13" s="148"/>
      <c r="X13" s="141"/>
      <c r="Y13" s="141"/>
      <c r="Z13" s="141"/>
      <c r="AA13" s="141"/>
      <c r="AB13" s="141"/>
      <c r="AC13" s="176" t="s">
        <v>125</v>
      </c>
      <c r="AD13" s="230"/>
      <c r="AE13" s="231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</row>
    <row r="14" spans="1:121" ht="12.75" customHeight="1" x14ac:dyDescent="0.2">
      <c r="A14" s="141"/>
      <c r="B14" s="141"/>
      <c r="C14" s="148"/>
      <c r="D14" s="148"/>
      <c r="E14" s="141"/>
      <c r="F14" s="560" t="s">
        <v>90</v>
      </c>
      <c r="G14" s="141"/>
      <c r="H14" s="560" t="s">
        <v>90</v>
      </c>
      <c r="I14" s="141"/>
      <c r="J14" s="141"/>
      <c r="K14" s="141"/>
      <c r="L14" s="141"/>
      <c r="M14" s="141"/>
      <c r="N14" s="562" t="s">
        <v>90</v>
      </c>
      <c r="O14" s="141"/>
      <c r="P14" s="564" t="s">
        <v>90</v>
      </c>
      <c r="Q14" s="141"/>
      <c r="R14" s="148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555" t="s">
        <v>90</v>
      </c>
      <c r="AD14" s="228"/>
      <c r="AE14" s="141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</row>
    <row r="15" spans="1:121" x14ac:dyDescent="0.2">
      <c r="A15" s="141"/>
      <c r="B15" s="141"/>
      <c r="C15" s="148"/>
      <c r="D15" s="148"/>
      <c r="E15" s="141"/>
      <c r="F15" s="561"/>
      <c r="G15" s="141"/>
      <c r="H15" s="561"/>
      <c r="I15" s="141"/>
      <c r="J15" s="141"/>
      <c r="K15" s="141"/>
      <c r="L15" s="141"/>
      <c r="M15" s="141"/>
      <c r="N15" s="563"/>
      <c r="O15" s="141"/>
      <c r="P15" s="565"/>
      <c r="Q15" s="141"/>
      <c r="R15" s="148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556"/>
      <c r="AD15" s="228"/>
      <c r="AE15" s="141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</row>
    <row r="16" spans="1:121" s="13" customFormat="1" ht="20.100000000000001" customHeight="1" thickBot="1" x14ac:dyDescent="0.25">
      <c r="A16" s="163"/>
      <c r="B16" s="164"/>
      <c r="C16" s="235" t="str">
        <f>Vorgaben!$G$5</f>
        <v>10a  (20/)</v>
      </c>
      <c r="D16" s="235"/>
      <c r="E16" s="236" t="str">
        <f>"Zentrale Prüfung 10 in "&amp;$C$3&amp;$E$4</f>
        <v>Zentrale Prüfung 10 in Mathematik  ( N M )</v>
      </c>
      <c r="F16" s="237"/>
      <c r="G16" s="235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8"/>
      <c r="AA16" s="238"/>
      <c r="AB16" s="238"/>
      <c r="AC16" s="239"/>
      <c r="AD16" s="240"/>
      <c r="AE16" s="154"/>
    </row>
    <row r="17" spans="1:31" s="13" customFormat="1" ht="18" customHeight="1" thickTop="1" x14ac:dyDescent="0.2">
      <c r="A17" s="160"/>
      <c r="B17" s="161"/>
      <c r="C17" s="162">
        <f ca="1">NOW()</f>
        <v>43536.408713773148</v>
      </c>
      <c r="D17" s="162"/>
      <c r="E17" s="241" t="s">
        <v>49</v>
      </c>
      <c r="F17" s="242"/>
      <c r="G17" s="243" t="s">
        <v>87</v>
      </c>
      <c r="H17" s="244"/>
      <c r="I17" s="243" t="s">
        <v>11</v>
      </c>
      <c r="J17" s="243"/>
      <c r="K17" s="557" t="s">
        <v>58</v>
      </c>
      <c r="L17" s="558"/>
      <c r="M17" s="558"/>
      <c r="N17" s="558"/>
      <c r="O17" s="558"/>
      <c r="P17" s="559"/>
      <c r="Q17" s="245"/>
      <c r="R17" s="243"/>
      <c r="S17" s="246" t="s">
        <v>163</v>
      </c>
      <c r="T17" s="243"/>
      <c r="U17" s="243"/>
      <c r="V17" s="243"/>
      <c r="W17" s="243"/>
      <c r="X17" s="243"/>
      <c r="Y17" s="247"/>
      <c r="Z17" s="248" t="s">
        <v>126</v>
      </c>
      <c r="AA17" s="249"/>
      <c r="AB17" s="238"/>
      <c r="AC17" s="239"/>
      <c r="AD17" s="240"/>
      <c r="AE17" s="154"/>
    </row>
    <row r="18" spans="1:31" s="13" customFormat="1" ht="18" customHeight="1" thickBot="1" x14ac:dyDescent="0.25">
      <c r="A18" s="163"/>
      <c r="B18" s="164"/>
      <c r="C18" s="165" t="s">
        <v>56</v>
      </c>
      <c r="D18" s="166" t="s">
        <v>57</v>
      </c>
      <c r="E18" s="250" t="s">
        <v>50</v>
      </c>
      <c r="F18" s="251"/>
      <c r="G18" s="252" t="s">
        <v>88</v>
      </c>
      <c r="H18" s="253"/>
      <c r="I18" s="252" t="s">
        <v>128</v>
      </c>
      <c r="J18" s="254"/>
      <c r="K18" s="255"/>
      <c r="L18" s="256" t="s">
        <v>51</v>
      </c>
      <c r="M18" s="257" t="s">
        <v>52</v>
      </c>
      <c r="N18" s="252"/>
      <c r="O18" s="257" t="s">
        <v>53</v>
      </c>
      <c r="P18" s="252"/>
      <c r="Q18" s="258" t="s">
        <v>164</v>
      </c>
      <c r="R18" s="254"/>
      <c r="S18" s="259"/>
      <c r="T18" s="260">
        <v>0</v>
      </c>
      <c r="U18" s="261"/>
      <c r="V18" s="260">
        <v>1</v>
      </c>
      <c r="W18" s="261"/>
      <c r="X18" s="260">
        <v>2</v>
      </c>
      <c r="Y18" s="262" t="s">
        <v>50</v>
      </c>
      <c r="Z18" s="263"/>
      <c r="AA18" s="249"/>
      <c r="AB18" s="238"/>
      <c r="AC18" s="239"/>
      <c r="AD18" s="240"/>
      <c r="AE18" s="154"/>
    </row>
    <row r="19" spans="1:31" s="13" customFormat="1" ht="20.100000000000001" customHeight="1" thickTop="1" x14ac:dyDescent="0.2">
      <c r="A19" s="167">
        <f>IF($C19&lt;&gt;"",1,"")</f>
        <v>1</v>
      </c>
      <c r="B19" s="168"/>
      <c r="C19" s="169" t="str">
        <f>IF(Vorgaben!C19&lt;&gt;"",Vorgaben!C19,"")</f>
        <v>NN 1</v>
      </c>
      <c r="D19" s="169" t="str">
        <f>IF(Vorgaben!D19&lt;&gt;"",Vorgaben!D19,"")</f>
        <v>VN 1</v>
      </c>
      <c r="E19" s="75"/>
      <c r="F19" s="44"/>
      <c r="G19" s="46"/>
      <c r="H19" s="44"/>
      <c r="I19" s="30"/>
      <c r="J19" s="182">
        <f t="shared" ref="J19:J54" si="0">IF($C19&lt;&gt;"",IF(AND(F19&lt;&gt;"",H19&lt;&gt;""),ABS(F19-H19),0),"")</f>
        <v>0</v>
      </c>
      <c r="K19" s="183"/>
      <c r="L19" s="184" t="str">
        <f>IF($C19&lt;&gt;"",IF(J19&lt;2,"- -",IF(J19=2,"frw. ?","x")),"")</f>
        <v>- -</v>
      </c>
      <c r="M19" s="22"/>
      <c r="N19" s="56"/>
      <c r="O19" s="22"/>
      <c r="P19" s="51"/>
      <c r="Q19" s="23"/>
      <c r="R19" s="198" t="str">
        <f>IF($C19&lt;&gt;"",IF(OR(L19="x",N19="j"),IF(P19="","- -",(5*$F19+3*$H19+2*$P19)/10),"- -"),"")</f>
        <v>- -</v>
      </c>
      <c r="S19" s="199"/>
      <c r="T19" s="200">
        <f>IF($C19&lt;&gt;"",IF(J19=0,H19,"- -"),"")</f>
        <v>0</v>
      </c>
      <c r="U19" s="199"/>
      <c r="V19" s="201" t="str">
        <f>IF($C19&lt;&gt;"",IF(J19&lt;&gt;1,"- -",IF(AND($AC19&lt;&gt;"",$AD19=""),$AC19,"f")),"")</f>
        <v>- -</v>
      </c>
      <c r="W19" s="199"/>
      <c r="X19" s="202" t="str">
        <f>IF($C19&lt;&gt;"",IF(AND(J19=2,N19="n"),(F19+H19)/2,"- -"),"")</f>
        <v>- -</v>
      </c>
      <c r="Y19" s="203"/>
      <c r="Z19" s="204" t="str">
        <f>IF($C19&lt;&gt;"",IF(OR(F19="",H19=""),"",IF(OR(R19="- -",R19=""),"",ROUND(R19-0.05,0))&amp;IF(T19="- -","",T19)&amp;IF(OR(V19="- -",V19="f"),"",V19)&amp;IF(X19="- -","",X19)),"")</f>
        <v/>
      </c>
      <c r="AA19" s="205" t="str">
        <f t="shared" ref="AA19:AA54" si="1">IF(Z19="","",VALUE(Z19))</f>
        <v/>
      </c>
      <c r="AB19" s="178"/>
      <c r="AC19" s="62"/>
      <c r="AD19" s="223" t="str">
        <f t="shared" ref="AD19:AD54" si="2">IF($C19&lt;&gt;"",IF(AND($J19=1,$AC19&lt;&gt;"",$AC19&lt;&gt;$F19,$AC19&lt;&gt;$H19),"falsche Zensur",IF(AND($J19=1,AC19=""),"fehlende Zensur","")),"")</f>
        <v/>
      </c>
    </row>
    <row r="20" spans="1:31" s="13" customFormat="1" ht="20.100000000000001" customHeight="1" x14ac:dyDescent="0.2">
      <c r="A20" s="167">
        <f t="shared" ref="A20:A54" si="3">IF($C20&lt;&gt;"",A19+1,"")</f>
        <v>2</v>
      </c>
      <c r="B20" s="168"/>
      <c r="C20" s="170" t="str">
        <f>IF(Vorgaben!C20&lt;&gt;"",Vorgaben!C20,"")</f>
        <v>NN 2</v>
      </c>
      <c r="D20" s="170" t="str">
        <f>IF(Vorgaben!D20&lt;&gt;"",Vorgaben!D20,"")</f>
        <v>VN 2</v>
      </c>
      <c r="E20" s="76"/>
      <c r="F20" s="97"/>
      <c r="G20" s="98"/>
      <c r="H20" s="97"/>
      <c r="I20" s="39"/>
      <c r="J20" s="186">
        <f t="shared" si="0"/>
        <v>0</v>
      </c>
      <c r="K20" s="265"/>
      <c r="L20" s="266" t="str">
        <f>IF($C20&lt;&gt;"",IF(J20&lt;2,"- -",IF(J20=2,"frw. ?","x")),"")</f>
        <v>- -</v>
      </c>
      <c r="M20" s="25"/>
      <c r="N20" s="55"/>
      <c r="O20" s="25"/>
      <c r="P20" s="45"/>
      <c r="Q20" s="26"/>
      <c r="R20" s="206" t="str">
        <f t="shared" ref="R20:R45" si="4">IF($C20&lt;&gt;"",IF(OR(L20="x",N20="j"),IF(P20="","- -",(5*$F20+3*$H20+2*$P20)/10),"- -"),"")</f>
        <v>- -</v>
      </c>
      <c r="S20" s="207"/>
      <c r="T20" s="208">
        <f t="shared" ref="T20:T45" si="5">IF($C20&lt;&gt;"",IF(J20=0,H20,"- -"),"")</f>
        <v>0</v>
      </c>
      <c r="U20" s="207"/>
      <c r="V20" s="209" t="str">
        <f t="shared" ref="V20:V45" si="6">IF($C20&lt;&gt;"",IF(J20&lt;&gt;1,"- -",IF(AND($AC20&lt;&gt;"",$AD20=""),$AC20,"f")),"")</f>
        <v>- -</v>
      </c>
      <c r="W20" s="207"/>
      <c r="X20" s="209" t="str">
        <f t="shared" ref="X20:X45" si="7">IF($C20&lt;&gt;"",IF(AND(J20=2,N20="n"),(F20+H20)/2,"- -"),"")</f>
        <v>- -</v>
      </c>
      <c r="Y20" s="210"/>
      <c r="Z20" s="211" t="str">
        <f t="shared" ref="Z20:Z45" si="8">IF($C20&lt;&gt;"",IF(OR(F20="",H20=""),"",IF(OR(R20="- -",R20=""),"",ROUND(R20-0.05,0))&amp;IF(T20="- -","",T20)&amp;IF(OR(V20="- -",V20="f"),"",V20)&amp;IF(X20="- -","",X20)),"")</f>
        <v/>
      </c>
      <c r="AA20" s="205" t="str">
        <f t="shared" si="1"/>
        <v/>
      </c>
      <c r="AB20" s="178"/>
      <c r="AC20" s="62"/>
      <c r="AD20" s="223" t="str">
        <f t="shared" si="2"/>
        <v/>
      </c>
    </row>
    <row r="21" spans="1:31" s="13" customFormat="1" ht="20.100000000000001" customHeight="1" x14ac:dyDescent="0.2">
      <c r="A21" s="167">
        <f t="shared" si="3"/>
        <v>3</v>
      </c>
      <c r="B21" s="168"/>
      <c r="C21" s="170" t="str">
        <f>IF(Vorgaben!C21&lt;&gt;"",Vorgaben!C21,"")</f>
        <v>NN 3</v>
      </c>
      <c r="D21" s="170" t="str">
        <f>IF(Vorgaben!D21&lt;&gt;"",Vorgaben!D21,"")</f>
        <v>VN 3</v>
      </c>
      <c r="E21" s="76"/>
      <c r="F21" s="97"/>
      <c r="G21" s="98"/>
      <c r="H21" s="97"/>
      <c r="I21" s="39"/>
      <c r="J21" s="186">
        <f t="shared" si="0"/>
        <v>0</v>
      </c>
      <c r="K21" s="265"/>
      <c r="L21" s="266" t="str">
        <f t="shared" ref="L21:L54" si="9">IF($C21&lt;&gt;"",IF(J21&lt;2,"- -",IF(J21=2,"frw. ?","x")),"")</f>
        <v>- -</v>
      </c>
      <c r="M21" s="25"/>
      <c r="N21" s="55"/>
      <c r="O21" s="25"/>
      <c r="P21" s="45"/>
      <c r="Q21" s="26"/>
      <c r="R21" s="206" t="str">
        <f t="shared" si="4"/>
        <v>- -</v>
      </c>
      <c r="S21" s="207"/>
      <c r="T21" s="208">
        <f t="shared" si="5"/>
        <v>0</v>
      </c>
      <c r="U21" s="207"/>
      <c r="V21" s="209" t="str">
        <f t="shared" si="6"/>
        <v>- -</v>
      </c>
      <c r="W21" s="207"/>
      <c r="X21" s="209" t="str">
        <f t="shared" si="7"/>
        <v>- -</v>
      </c>
      <c r="Y21" s="210"/>
      <c r="Z21" s="211" t="str">
        <f t="shared" si="8"/>
        <v/>
      </c>
      <c r="AA21" s="205" t="str">
        <f t="shared" si="1"/>
        <v/>
      </c>
      <c r="AB21" s="178"/>
      <c r="AC21" s="62"/>
      <c r="AD21" s="223" t="str">
        <f t="shared" si="2"/>
        <v/>
      </c>
    </row>
    <row r="22" spans="1:31" s="13" customFormat="1" ht="20.100000000000001" customHeight="1" x14ac:dyDescent="0.2">
      <c r="A22" s="167">
        <f t="shared" si="3"/>
        <v>4</v>
      </c>
      <c r="B22" s="168"/>
      <c r="C22" s="170" t="str">
        <f>IF(Vorgaben!C22&lt;&gt;"",Vorgaben!C22,"")</f>
        <v>NN 4</v>
      </c>
      <c r="D22" s="170" t="str">
        <f>IF(Vorgaben!D22&lt;&gt;"",Vorgaben!D22,"")</f>
        <v>VN 4</v>
      </c>
      <c r="E22" s="76"/>
      <c r="F22" s="97"/>
      <c r="G22" s="98"/>
      <c r="H22" s="97"/>
      <c r="I22" s="39"/>
      <c r="J22" s="186">
        <f t="shared" si="0"/>
        <v>0</v>
      </c>
      <c r="K22" s="265"/>
      <c r="L22" s="266" t="str">
        <f t="shared" si="9"/>
        <v>- -</v>
      </c>
      <c r="M22" s="25"/>
      <c r="N22" s="55"/>
      <c r="O22" s="25"/>
      <c r="P22" s="45"/>
      <c r="Q22" s="26"/>
      <c r="R22" s="206" t="str">
        <f t="shared" si="4"/>
        <v>- -</v>
      </c>
      <c r="S22" s="207"/>
      <c r="T22" s="208">
        <f t="shared" si="5"/>
        <v>0</v>
      </c>
      <c r="U22" s="207"/>
      <c r="V22" s="209" t="str">
        <f t="shared" si="6"/>
        <v>- -</v>
      </c>
      <c r="W22" s="207"/>
      <c r="X22" s="209" t="str">
        <f t="shared" si="7"/>
        <v>- -</v>
      </c>
      <c r="Y22" s="210"/>
      <c r="Z22" s="211" t="str">
        <f t="shared" si="8"/>
        <v/>
      </c>
      <c r="AA22" s="205" t="str">
        <f t="shared" si="1"/>
        <v/>
      </c>
      <c r="AB22" s="178"/>
      <c r="AC22" s="62"/>
      <c r="AD22" s="223" t="str">
        <f t="shared" si="2"/>
        <v/>
      </c>
    </row>
    <row r="23" spans="1:31" s="13" customFormat="1" ht="20.100000000000001" customHeight="1" x14ac:dyDescent="0.2">
      <c r="A23" s="167">
        <f t="shared" si="3"/>
        <v>5</v>
      </c>
      <c r="B23" s="168"/>
      <c r="C23" s="170" t="str">
        <f>IF(Vorgaben!C23&lt;&gt;"",Vorgaben!C23,"")</f>
        <v>NN 5</v>
      </c>
      <c r="D23" s="170" t="str">
        <f>IF(Vorgaben!D23&lt;&gt;"",Vorgaben!D23,"")</f>
        <v>VN 5</v>
      </c>
      <c r="E23" s="76"/>
      <c r="F23" s="97"/>
      <c r="G23" s="98"/>
      <c r="H23" s="97"/>
      <c r="I23" s="39"/>
      <c r="J23" s="186">
        <f t="shared" si="0"/>
        <v>0</v>
      </c>
      <c r="K23" s="265"/>
      <c r="L23" s="266" t="str">
        <f t="shared" si="9"/>
        <v>- -</v>
      </c>
      <c r="M23" s="25"/>
      <c r="N23" s="55"/>
      <c r="O23" s="25"/>
      <c r="P23" s="45"/>
      <c r="Q23" s="26"/>
      <c r="R23" s="206" t="str">
        <f t="shared" si="4"/>
        <v>- -</v>
      </c>
      <c r="S23" s="207"/>
      <c r="T23" s="208">
        <f t="shared" si="5"/>
        <v>0</v>
      </c>
      <c r="U23" s="207"/>
      <c r="V23" s="209" t="str">
        <f t="shared" si="6"/>
        <v>- -</v>
      </c>
      <c r="W23" s="207"/>
      <c r="X23" s="209" t="str">
        <f t="shared" si="7"/>
        <v>- -</v>
      </c>
      <c r="Y23" s="210"/>
      <c r="Z23" s="211" t="str">
        <f t="shared" si="8"/>
        <v/>
      </c>
      <c r="AA23" s="205" t="str">
        <f t="shared" si="1"/>
        <v/>
      </c>
      <c r="AB23" s="178"/>
      <c r="AC23" s="62"/>
      <c r="AD23" s="223" t="str">
        <f t="shared" si="2"/>
        <v/>
      </c>
    </row>
    <row r="24" spans="1:31" s="13" customFormat="1" ht="20.100000000000001" customHeight="1" x14ac:dyDescent="0.2">
      <c r="A24" s="167">
        <f t="shared" si="3"/>
        <v>6</v>
      </c>
      <c r="B24" s="168"/>
      <c r="C24" s="170" t="str">
        <f>IF(Vorgaben!C24&lt;&gt;"",Vorgaben!C24,"")</f>
        <v>NN 6</v>
      </c>
      <c r="D24" s="170" t="str">
        <f>IF(Vorgaben!D24&lt;&gt;"",Vorgaben!D24,"")</f>
        <v>VN 6</v>
      </c>
      <c r="E24" s="76"/>
      <c r="F24" s="97"/>
      <c r="G24" s="98"/>
      <c r="H24" s="97"/>
      <c r="I24" s="39"/>
      <c r="J24" s="186">
        <f t="shared" si="0"/>
        <v>0</v>
      </c>
      <c r="K24" s="265"/>
      <c r="L24" s="266" t="str">
        <f t="shared" si="9"/>
        <v>- -</v>
      </c>
      <c r="M24" s="25"/>
      <c r="N24" s="55"/>
      <c r="O24" s="25"/>
      <c r="P24" s="45"/>
      <c r="Q24" s="26"/>
      <c r="R24" s="206" t="str">
        <f t="shared" si="4"/>
        <v>- -</v>
      </c>
      <c r="S24" s="207"/>
      <c r="T24" s="208">
        <f t="shared" si="5"/>
        <v>0</v>
      </c>
      <c r="U24" s="207"/>
      <c r="V24" s="209" t="str">
        <f t="shared" si="6"/>
        <v>- -</v>
      </c>
      <c r="W24" s="207"/>
      <c r="X24" s="209" t="str">
        <f t="shared" si="7"/>
        <v>- -</v>
      </c>
      <c r="Y24" s="210"/>
      <c r="Z24" s="211" t="str">
        <f t="shared" si="8"/>
        <v/>
      </c>
      <c r="AA24" s="205" t="str">
        <f t="shared" si="1"/>
        <v/>
      </c>
      <c r="AB24" s="178"/>
      <c r="AC24" s="62"/>
      <c r="AD24" s="223" t="str">
        <f t="shared" si="2"/>
        <v/>
      </c>
    </row>
    <row r="25" spans="1:31" s="13" customFormat="1" ht="20.100000000000001" customHeight="1" x14ac:dyDescent="0.2">
      <c r="A25" s="167">
        <f t="shared" si="3"/>
        <v>7</v>
      </c>
      <c r="B25" s="168"/>
      <c r="C25" s="170" t="str">
        <f>IF(Vorgaben!C25&lt;&gt;"",Vorgaben!C25,"")</f>
        <v>NN 7</v>
      </c>
      <c r="D25" s="170" t="str">
        <f>IF(Vorgaben!D25&lt;&gt;"",Vorgaben!D25,"")</f>
        <v>VN 7</v>
      </c>
      <c r="E25" s="76"/>
      <c r="F25" s="97"/>
      <c r="G25" s="98"/>
      <c r="H25" s="97"/>
      <c r="I25" s="39"/>
      <c r="J25" s="186">
        <f t="shared" si="0"/>
        <v>0</v>
      </c>
      <c r="K25" s="265"/>
      <c r="L25" s="266" t="str">
        <f t="shared" si="9"/>
        <v>- -</v>
      </c>
      <c r="M25" s="25"/>
      <c r="N25" s="55"/>
      <c r="O25" s="25"/>
      <c r="P25" s="45"/>
      <c r="Q25" s="26"/>
      <c r="R25" s="206" t="str">
        <f t="shared" si="4"/>
        <v>- -</v>
      </c>
      <c r="S25" s="207"/>
      <c r="T25" s="208">
        <f t="shared" si="5"/>
        <v>0</v>
      </c>
      <c r="U25" s="207"/>
      <c r="V25" s="209" t="str">
        <f t="shared" si="6"/>
        <v>- -</v>
      </c>
      <c r="W25" s="207"/>
      <c r="X25" s="209" t="str">
        <f t="shared" si="7"/>
        <v>- -</v>
      </c>
      <c r="Y25" s="210"/>
      <c r="Z25" s="211" t="str">
        <f t="shared" si="8"/>
        <v/>
      </c>
      <c r="AA25" s="205" t="str">
        <f t="shared" si="1"/>
        <v/>
      </c>
      <c r="AB25" s="178"/>
      <c r="AC25" s="62"/>
      <c r="AD25" s="223" t="str">
        <f t="shared" si="2"/>
        <v/>
      </c>
    </row>
    <row r="26" spans="1:31" s="13" customFormat="1" ht="20.100000000000001" customHeight="1" x14ac:dyDescent="0.2">
      <c r="A26" s="167">
        <f t="shared" si="3"/>
        <v>8</v>
      </c>
      <c r="B26" s="168"/>
      <c r="C26" s="170" t="str">
        <f>IF(Vorgaben!C26&lt;&gt;"",Vorgaben!C26,"")</f>
        <v>NN 8</v>
      </c>
      <c r="D26" s="170" t="str">
        <f>IF(Vorgaben!D26&lt;&gt;"",Vorgaben!D26,"")</f>
        <v>VN 8</v>
      </c>
      <c r="E26" s="76"/>
      <c r="F26" s="97"/>
      <c r="G26" s="98"/>
      <c r="H26" s="97"/>
      <c r="I26" s="39"/>
      <c r="J26" s="186">
        <f t="shared" si="0"/>
        <v>0</v>
      </c>
      <c r="K26" s="265"/>
      <c r="L26" s="266" t="str">
        <f t="shared" si="9"/>
        <v>- -</v>
      </c>
      <c r="M26" s="25"/>
      <c r="N26" s="55"/>
      <c r="O26" s="25"/>
      <c r="P26" s="45"/>
      <c r="Q26" s="26"/>
      <c r="R26" s="206" t="str">
        <f t="shared" si="4"/>
        <v>- -</v>
      </c>
      <c r="S26" s="207"/>
      <c r="T26" s="208">
        <f t="shared" si="5"/>
        <v>0</v>
      </c>
      <c r="U26" s="207"/>
      <c r="V26" s="209" t="str">
        <f t="shared" si="6"/>
        <v>- -</v>
      </c>
      <c r="W26" s="207"/>
      <c r="X26" s="209" t="str">
        <f t="shared" si="7"/>
        <v>- -</v>
      </c>
      <c r="Y26" s="210"/>
      <c r="Z26" s="211" t="str">
        <f t="shared" si="8"/>
        <v/>
      </c>
      <c r="AA26" s="205" t="str">
        <f t="shared" si="1"/>
        <v/>
      </c>
      <c r="AB26" s="178"/>
      <c r="AC26" s="62"/>
      <c r="AD26" s="223" t="str">
        <f t="shared" si="2"/>
        <v/>
      </c>
    </row>
    <row r="27" spans="1:31" s="13" customFormat="1" ht="20.100000000000001" customHeight="1" x14ac:dyDescent="0.2">
      <c r="A27" s="167">
        <f t="shared" si="3"/>
        <v>9</v>
      </c>
      <c r="B27" s="168"/>
      <c r="C27" s="170" t="str">
        <f>IF(Vorgaben!C27&lt;&gt;"",Vorgaben!C27,"")</f>
        <v>NN 9</v>
      </c>
      <c r="D27" s="170" t="str">
        <f>IF(Vorgaben!D27&lt;&gt;"",Vorgaben!D27,"")</f>
        <v>VN 9</v>
      </c>
      <c r="E27" s="76"/>
      <c r="F27" s="97"/>
      <c r="G27" s="98"/>
      <c r="H27" s="97"/>
      <c r="I27" s="39"/>
      <c r="J27" s="186">
        <f t="shared" si="0"/>
        <v>0</v>
      </c>
      <c r="K27" s="265"/>
      <c r="L27" s="266" t="str">
        <f t="shared" si="9"/>
        <v>- -</v>
      </c>
      <c r="M27" s="25"/>
      <c r="N27" s="55"/>
      <c r="O27" s="25"/>
      <c r="P27" s="45"/>
      <c r="Q27" s="26"/>
      <c r="R27" s="206" t="str">
        <f t="shared" si="4"/>
        <v>- -</v>
      </c>
      <c r="S27" s="207"/>
      <c r="T27" s="208">
        <f t="shared" si="5"/>
        <v>0</v>
      </c>
      <c r="U27" s="207"/>
      <c r="V27" s="209" t="str">
        <f t="shared" si="6"/>
        <v>- -</v>
      </c>
      <c r="W27" s="207"/>
      <c r="X27" s="209" t="str">
        <f t="shared" si="7"/>
        <v>- -</v>
      </c>
      <c r="Y27" s="210"/>
      <c r="Z27" s="211" t="str">
        <f t="shared" si="8"/>
        <v/>
      </c>
      <c r="AA27" s="205" t="str">
        <f t="shared" si="1"/>
        <v/>
      </c>
      <c r="AB27" s="178"/>
      <c r="AC27" s="62"/>
      <c r="AD27" s="223" t="str">
        <f t="shared" si="2"/>
        <v/>
      </c>
    </row>
    <row r="28" spans="1:31" s="13" customFormat="1" ht="20.100000000000001" customHeight="1" x14ac:dyDescent="0.2">
      <c r="A28" s="167">
        <f t="shared" si="3"/>
        <v>10</v>
      </c>
      <c r="B28" s="168"/>
      <c r="C28" s="170" t="str">
        <f>IF(Vorgaben!C28&lt;&gt;"",Vorgaben!C28,"")</f>
        <v>NN 10</v>
      </c>
      <c r="D28" s="170" t="str">
        <f>IF(Vorgaben!D28&lt;&gt;"",Vorgaben!D28,"")</f>
        <v>VN 10</v>
      </c>
      <c r="E28" s="76"/>
      <c r="F28" s="97"/>
      <c r="G28" s="98"/>
      <c r="H28" s="97"/>
      <c r="I28" s="39"/>
      <c r="J28" s="186">
        <f t="shared" si="0"/>
        <v>0</v>
      </c>
      <c r="K28" s="265"/>
      <c r="L28" s="266" t="str">
        <f t="shared" si="9"/>
        <v>- -</v>
      </c>
      <c r="M28" s="25"/>
      <c r="N28" s="55"/>
      <c r="O28" s="25"/>
      <c r="P28" s="45"/>
      <c r="Q28" s="26"/>
      <c r="R28" s="206" t="str">
        <f t="shared" si="4"/>
        <v>- -</v>
      </c>
      <c r="S28" s="207"/>
      <c r="T28" s="208">
        <f t="shared" si="5"/>
        <v>0</v>
      </c>
      <c r="U28" s="207"/>
      <c r="V28" s="209" t="str">
        <f t="shared" si="6"/>
        <v>- -</v>
      </c>
      <c r="W28" s="207"/>
      <c r="X28" s="209" t="str">
        <f t="shared" si="7"/>
        <v>- -</v>
      </c>
      <c r="Y28" s="210"/>
      <c r="Z28" s="211" t="str">
        <f t="shared" si="8"/>
        <v/>
      </c>
      <c r="AA28" s="205" t="str">
        <f t="shared" si="1"/>
        <v/>
      </c>
      <c r="AB28" s="178"/>
      <c r="AC28" s="62"/>
      <c r="AD28" s="223" t="str">
        <f t="shared" si="2"/>
        <v/>
      </c>
    </row>
    <row r="29" spans="1:31" s="13" customFormat="1" ht="20.100000000000001" customHeight="1" x14ac:dyDescent="0.2">
      <c r="A29" s="167">
        <f t="shared" si="3"/>
        <v>11</v>
      </c>
      <c r="B29" s="168"/>
      <c r="C29" s="170" t="str">
        <f>IF(Vorgaben!C29&lt;&gt;"",Vorgaben!C29,"")</f>
        <v>NN 11</v>
      </c>
      <c r="D29" s="170" t="str">
        <f>IF(Vorgaben!D29&lt;&gt;"",Vorgaben!D29,"")</f>
        <v>VN 11</v>
      </c>
      <c r="E29" s="76"/>
      <c r="F29" s="97"/>
      <c r="G29" s="98"/>
      <c r="H29" s="97"/>
      <c r="I29" s="39"/>
      <c r="J29" s="186">
        <f t="shared" si="0"/>
        <v>0</v>
      </c>
      <c r="K29" s="265"/>
      <c r="L29" s="266" t="str">
        <f t="shared" si="9"/>
        <v>- -</v>
      </c>
      <c r="M29" s="25"/>
      <c r="N29" s="55"/>
      <c r="O29" s="25"/>
      <c r="P29" s="45"/>
      <c r="Q29" s="26"/>
      <c r="R29" s="206" t="str">
        <f t="shared" si="4"/>
        <v>- -</v>
      </c>
      <c r="S29" s="207"/>
      <c r="T29" s="208">
        <f t="shared" si="5"/>
        <v>0</v>
      </c>
      <c r="U29" s="207"/>
      <c r="V29" s="209" t="str">
        <f t="shared" si="6"/>
        <v>- -</v>
      </c>
      <c r="W29" s="207"/>
      <c r="X29" s="209" t="str">
        <f t="shared" si="7"/>
        <v>- -</v>
      </c>
      <c r="Y29" s="210"/>
      <c r="Z29" s="211" t="str">
        <f t="shared" si="8"/>
        <v/>
      </c>
      <c r="AA29" s="205" t="str">
        <f t="shared" si="1"/>
        <v/>
      </c>
      <c r="AB29" s="178"/>
      <c r="AC29" s="62"/>
      <c r="AD29" s="223" t="str">
        <f t="shared" si="2"/>
        <v/>
      </c>
    </row>
    <row r="30" spans="1:31" s="13" customFormat="1" ht="20.100000000000001" customHeight="1" x14ac:dyDescent="0.2">
      <c r="A30" s="167">
        <f t="shared" si="3"/>
        <v>12</v>
      </c>
      <c r="B30" s="168"/>
      <c r="C30" s="170" t="str">
        <f>IF(Vorgaben!C30&lt;&gt;"",Vorgaben!C30,"")</f>
        <v>NN 12</v>
      </c>
      <c r="D30" s="170" t="str">
        <f>IF(Vorgaben!D30&lt;&gt;"",Vorgaben!D30,"")</f>
        <v>VN 12</v>
      </c>
      <c r="E30" s="76"/>
      <c r="F30" s="97"/>
      <c r="G30" s="98"/>
      <c r="H30" s="97"/>
      <c r="I30" s="39"/>
      <c r="J30" s="186">
        <f t="shared" si="0"/>
        <v>0</v>
      </c>
      <c r="K30" s="265"/>
      <c r="L30" s="266" t="str">
        <f t="shared" si="9"/>
        <v>- -</v>
      </c>
      <c r="M30" s="25"/>
      <c r="N30" s="55"/>
      <c r="O30" s="25"/>
      <c r="P30" s="45"/>
      <c r="Q30" s="26"/>
      <c r="R30" s="206" t="str">
        <f t="shared" si="4"/>
        <v>- -</v>
      </c>
      <c r="S30" s="207"/>
      <c r="T30" s="208">
        <f t="shared" si="5"/>
        <v>0</v>
      </c>
      <c r="U30" s="207"/>
      <c r="V30" s="209" t="str">
        <f t="shared" si="6"/>
        <v>- -</v>
      </c>
      <c r="W30" s="207"/>
      <c r="X30" s="209" t="str">
        <f t="shared" si="7"/>
        <v>- -</v>
      </c>
      <c r="Y30" s="210"/>
      <c r="Z30" s="211" t="str">
        <f t="shared" si="8"/>
        <v/>
      </c>
      <c r="AA30" s="205" t="str">
        <f t="shared" si="1"/>
        <v/>
      </c>
      <c r="AB30" s="178"/>
      <c r="AC30" s="62"/>
      <c r="AD30" s="223" t="str">
        <f t="shared" si="2"/>
        <v/>
      </c>
    </row>
    <row r="31" spans="1:31" s="13" customFormat="1" ht="20.100000000000001" customHeight="1" x14ac:dyDescent="0.2">
      <c r="A31" s="167">
        <f t="shared" si="3"/>
        <v>13</v>
      </c>
      <c r="B31" s="168"/>
      <c r="C31" s="170" t="str">
        <f>IF(Vorgaben!C31&lt;&gt;"",Vorgaben!C31,"")</f>
        <v>NN 13</v>
      </c>
      <c r="D31" s="170" t="str">
        <f>IF(Vorgaben!D31&lt;&gt;"",Vorgaben!D31,"")</f>
        <v>VN 13</v>
      </c>
      <c r="E31" s="76"/>
      <c r="F31" s="97"/>
      <c r="G31" s="98"/>
      <c r="H31" s="97"/>
      <c r="I31" s="39"/>
      <c r="J31" s="186">
        <f t="shared" si="0"/>
        <v>0</v>
      </c>
      <c r="K31" s="265"/>
      <c r="L31" s="266" t="str">
        <f t="shared" si="9"/>
        <v>- -</v>
      </c>
      <c r="M31" s="25"/>
      <c r="N31" s="55"/>
      <c r="O31" s="25"/>
      <c r="P31" s="45"/>
      <c r="Q31" s="26"/>
      <c r="R31" s="206" t="str">
        <f t="shared" si="4"/>
        <v>- -</v>
      </c>
      <c r="S31" s="207"/>
      <c r="T31" s="208">
        <f t="shared" si="5"/>
        <v>0</v>
      </c>
      <c r="U31" s="207"/>
      <c r="V31" s="209" t="str">
        <f t="shared" si="6"/>
        <v>- -</v>
      </c>
      <c r="W31" s="207"/>
      <c r="X31" s="209" t="str">
        <f t="shared" si="7"/>
        <v>- -</v>
      </c>
      <c r="Y31" s="210"/>
      <c r="Z31" s="211" t="str">
        <f t="shared" si="8"/>
        <v/>
      </c>
      <c r="AA31" s="205" t="str">
        <f t="shared" si="1"/>
        <v/>
      </c>
      <c r="AB31" s="178"/>
      <c r="AC31" s="62"/>
      <c r="AD31" s="223" t="str">
        <f t="shared" si="2"/>
        <v/>
      </c>
    </row>
    <row r="32" spans="1:31" s="13" customFormat="1" ht="20.100000000000001" customHeight="1" x14ac:dyDescent="0.2">
      <c r="A32" s="167">
        <f t="shared" si="3"/>
        <v>14</v>
      </c>
      <c r="B32" s="168"/>
      <c r="C32" s="170" t="str">
        <f>IF(Vorgaben!C32&lt;&gt;"",Vorgaben!C32,"")</f>
        <v>NN 14</v>
      </c>
      <c r="D32" s="170" t="str">
        <f>IF(Vorgaben!D32&lt;&gt;"",Vorgaben!D32,"")</f>
        <v>VN 14</v>
      </c>
      <c r="E32" s="76"/>
      <c r="F32" s="97"/>
      <c r="G32" s="98"/>
      <c r="H32" s="97"/>
      <c r="I32" s="39"/>
      <c r="J32" s="186">
        <f t="shared" si="0"/>
        <v>0</v>
      </c>
      <c r="K32" s="265"/>
      <c r="L32" s="266" t="str">
        <f t="shared" si="9"/>
        <v>- -</v>
      </c>
      <c r="M32" s="25"/>
      <c r="N32" s="55"/>
      <c r="O32" s="25"/>
      <c r="P32" s="45"/>
      <c r="Q32" s="26"/>
      <c r="R32" s="206" t="str">
        <f t="shared" si="4"/>
        <v>- -</v>
      </c>
      <c r="S32" s="207"/>
      <c r="T32" s="208">
        <f t="shared" si="5"/>
        <v>0</v>
      </c>
      <c r="U32" s="207"/>
      <c r="V32" s="209" t="str">
        <f t="shared" si="6"/>
        <v>- -</v>
      </c>
      <c r="W32" s="207"/>
      <c r="X32" s="209" t="str">
        <f t="shared" si="7"/>
        <v>- -</v>
      </c>
      <c r="Y32" s="210"/>
      <c r="Z32" s="211" t="str">
        <f t="shared" si="8"/>
        <v/>
      </c>
      <c r="AA32" s="205" t="str">
        <f t="shared" si="1"/>
        <v/>
      </c>
      <c r="AB32" s="178"/>
      <c r="AC32" s="62"/>
      <c r="AD32" s="223" t="str">
        <f t="shared" si="2"/>
        <v/>
      </c>
    </row>
    <row r="33" spans="1:30" s="13" customFormat="1" ht="20.100000000000001" customHeight="1" x14ac:dyDescent="0.2">
      <c r="A33" s="167">
        <f t="shared" si="3"/>
        <v>15</v>
      </c>
      <c r="B33" s="168"/>
      <c r="C33" s="170" t="str">
        <f>IF(Vorgaben!C33&lt;&gt;"",Vorgaben!C33,"")</f>
        <v>NN 15</v>
      </c>
      <c r="D33" s="170" t="str">
        <f>IF(Vorgaben!D33&lt;&gt;"",Vorgaben!D33,"")</f>
        <v>VN 15</v>
      </c>
      <c r="E33" s="76"/>
      <c r="F33" s="97"/>
      <c r="G33" s="98"/>
      <c r="H33" s="97"/>
      <c r="I33" s="39"/>
      <c r="J33" s="186">
        <f t="shared" si="0"/>
        <v>0</v>
      </c>
      <c r="K33" s="265"/>
      <c r="L33" s="266" t="str">
        <f t="shared" si="9"/>
        <v>- -</v>
      </c>
      <c r="M33" s="25"/>
      <c r="N33" s="55"/>
      <c r="O33" s="25"/>
      <c r="P33" s="45"/>
      <c r="Q33" s="26"/>
      <c r="R33" s="206" t="str">
        <f t="shared" si="4"/>
        <v>- -</v>
      </c>
      <c r="S33" s="207"/>
      <c r="T33" s="208">
        <f t="shared" si="5"/>
        <v>0</v>
      </c>
      <c r="U33" s="207"/>
      <c r="V33" s="209" t="str">
        <f t="shared" si="6"/>
        <v>- -</v>
      </c>
      <c r="W33" s="207"/>
      <c r="X33" s="209" t="str">
        <f t="shared" si="7"/>
        <v>- -</v>
      </c>
      <c r="Y33" s="210"/>
      <c r="Z33" s="211" t="str">
        <f t="shared" si="8"/>
        <v/>
      </c>
      <c r="AA33" s="205" t="str">
        <f t="shared" si="1"/>
        <v/>
      </c>
      <c r="AB33" s="178"/>
      <c r="AC33" s="62"/>
      <c r="AD33" s="223" t="str">
        <f t="shared" si="2"/>
        <v/>
      </c>
    </row>
    <row r="34" spans="1:30" s="13" customFormat="1" ht="20.100000000000001" customHeight="1" x14ac:dyDescent="0.2">
      <c r="A34" s="167">
        <f t="shared" si="3"/>
        <v>16</v>
      </c>
      <c r="B34" s="168"/>
      <c r="C34" s="170" t="str">
        <f>IF(Vorgaben!C34&lt;&gt;"",Vorgaben!C34,"")</f>
        <v>NN 16</v>
      </c>
      <c r="D34" s="170" t="str">
        <f>IF(Vorgaben!D34&lt;&gt;"",Vorgaben!D34,"")</f>
        <v>VN 16</v>
      </c>
      <c r="E34" s="76"/>
      <c r="F34" s="97"/>
      <c r="G34" s="98"/>
      <c r="H34" s="97"/>
      <c r="I34" s="39"/>
      <c r="J34" s="186">
        <f t="shared" si="0"/>
        <v>0</v>
      </c>
      <c r="K34" s="265"/>
      <c r="L34" s="266" t="str">
        <f t="shared" si="9"/>
        <v>- -</v>
      </c>
      <c r="M34" s="25"/>
      <c r="N34" s="55"/>
      <c r="O34" s="25"/>
      <c r="P34" s="45"/>
      <c r="Q34" s="26"/>
      <c r="R34" s="206" t="str">
        <f t="shared" si="4"/>
        <v>- -</v>
      </c>
      <c r="S34" s="207"/>
      <c r="T34" s="208">
        <f t="shared" si="5"/>
        <v>0</v>
      </c>
      <c r="U34" s="207"/>
      <c r="V34" s="209" t="str">
        <f t="shared" si="6"/>
        <v>- -</v>
      </c>
      <c r="W34" s="207"/>
      <c r="X34" s="209" t="str">
        <f t="shared" si="7"/>
        <v>- -</v>
      </c>
      <c r="Y34" s="210"/>
      <c r="Z34" s="211" t="str">
        <f t="shared" si="8"/>
        <v/>
      </c>
      <c r="AA34" s="205" t="str">
        <f t="shared" si="1"/>
        <v/>
      </c>
      <c r="AB34" s="178"/>
      <c r="AC34" s="62"/>
      <c r="AD34" s="223" t="str">
        <f t="shared" si="2"/>
        <v/>
      </c>
    </row>
    <row r="35" spans="1:30" s="13" customFormat="1" ht="20.100000000000001" customHeight="1" x14ac:dyDescent="0.2">
      <c r="A35" s="167">
        <f t="shared" si="3"/>
        <v>17</v>
      </c>
      <c r="B35" s="168"/>
      <c r="C35" s="170" t="str">
        <f>IF(Vorgaben!C35&lt;&gt;"",Vorgaben!C35,"")</f>
        <v>NN 17</v>
      </c>
      <c r="D35" s="170" t="str">
        <f>IF(Vorgaben!D35&lt;&gt;"",Vorgaben!D35,"")</f>
        <v>VN 17</v>
      </c>
      <c r="E35" s="76"/>
      <c r="F35" s="97"/>
      <c r="G35" s="98"/>
      <c r="H35" s="97"/>
      <c r="I35" s="39"/>
      <c r="J35" s="186">
        <f t="shared" si="0"/>
        <v>0</v>
      </c>
      <c r="K35" s="265"/>
      <c r="L35" s="266" t="str">
        <f t="shared" si="9"/>
        <v>- -</v>
      </c>
      <c r="M35" s="25"/>
      <c r="N35" s="55"/>
      <c r="O35" s="25"/>
      <c r="P35" s="45"/>
      <c r="Q35" s="26"/>
      <c r="R35" s="206" t="str">
        <f t="shared" si="4"/>
        <v>- -</v>
      </c>
      <c r="S35" s="207"/>
      <c r="T35" s="208">
        <f t="shared" si="5"/>
        <v>0</v>
      </c>
      <c r="U35" s="207"/>
      <c r="V35" s="209" t="str">
        <f t="shared" si="6"/>
        <v>- -</v>
      </c>
      <c r="W35" s="207"/>
      <c r="X35" s="209" t="str">
        <f t="shared" si="7"/>
        <v>- -</v>
      </c>
      <c r="Y35" s="210"/>
      <c r="Z35" s="211" t="str">
        <f t="shared" si="8"/>
        <v/>
      </c>
      <c r="AA35" s="205" t="str">
        <f t="shared" si="1"/>
        <v/>
      </c>
      <c r="AB35" s="178"/>
      <c r="AC35" s="62"/>
      <c r="AD35" s="223" t="str">
        <f t="shared" si="2"/>
        <v/>
      </c>
    </row>
    <row r="36" spans="1:30" s="13" customFormat="1" ht="20.100000000000001" customHeight="1" x14ac:dyDescent="0.2">
      <c r="A36" s="167">
        <f t="shared" si="3"/>
        <v>18</v>
      </c>
      <c r="B36" s="168"/>
      <c r="C36" s="170" t="str">
        <f>IF(Vorgaben!C36&lt;&gt;"",Vorgaben!C36,"")</f>
        <v>NN 18</v>
      </c>
      <c r="D36" s="170" t="str">
        <f>IF(Vorgaben!D36&lt;&gt;"",Vorgaben!D36,"")</f>
        <v>VN 18</v>
      </c>
      <c r="E36" s="76"/>
      <c r="F36" s="97"/>
      <c r="G36" s="98"/>
      <c r="H36" s="97"/>
      <c r="I36" s="39"/>
      <c r="J36" s="186">
        <f t="shared" si="0"/>
        <v>0</v>
      </c>
      <c r="K36" s="265"/>
      <c r="L36" s="266" t="str">
        <f t="shared" si="9"/>
        <v>- -</v>
      </c>
      <c r="M36" s="25"/>
      <c r="N36" s="55"/>
      <c r="O36" s="25"/>
      <c r="P36" s="45"/>
      <c r="Q36" s="26"/>
      <c r="R36" s="206" t="str">
        <f t="shared" si="4"/>
        <v>- -</v>
      </c>
      <c r="S36" s="207"/>
      <c r="T36" s="208">
        <f t="shared" si="5"/>
        <v>0</v>
      </c>
      <c r="U36" s="207"/>
      <c r="V36" s="209" t="str">
        <f t="shared" si="6"/>
        <v>- -</v>
      </c>
      <c r="W36" s="207"/>
      <c r="X36" s="209" t="str">
        <f t="shared" si="7"/>
        <v>- -</v>
      </c>
      <c r="Y36" s="210"/>
      <c r="Z36" s="211" t="str">
        <f t="shared" si="8"/>
        <v/>
      </c>
      <c r="AA36" s="205" t="str">
        <f t="shared" si="1"/>
        <v/>
      </c>
      <c r="AB36" s="178"/>
      <c r="AC36" s="62"/>
      <c r="AD36" s="223" t="str">
        <f t="shared" si="2"/>
        <v/>
      </c>
    </row>
    <row r="37" spans="1:30" s="13" customFormat="1" ht="20.100000000000001" customHeight="1" x14ac:dyDescent="0.2">
      <c r="A37" s="167">
        <f t="shared" si="3"/>
        <v>19</v>
      </c>
      <c r="B37" s="168"/>
      <c r="C37" s="170" t="str">
        <f>IF(Vorgaben!C37&lt;&gt;"",Vorgaben!C37,"")</f>
        <v>NN 19</v>
      </c>
      <c r="D37" s="170" t="str">
        <f>IF(Vorgaben!D37&lt;&gt;"",Vorgaben!D37,"")</f>
        <v>VN 19</v>
      </c>
      <c r="E37" s="76"/>
      <c r="F37" s="97"/>
      <c r="G37" s="98"/>
      <c r="H37" s="97"/>
      <c r="I37" s="39"/>
      <c r="J37" s="186">
        <f t="shared" si="0"/>
        <v>0</v>
      </c>
      <c r="K37" s="265"/>
      <c r="L37" s="266" t="str">
        <f t="shared" si="9"/>
        <v>- -</v>
      </c>
      <c r="M37" s="25"/>
      <c r="N37" s="55"/>
      <c r="O37" s="25"/>
      <c r="P37" s="45"/>
      <c r="Q37" s="26"/>
      <c r="R37" s="206" t="str">
        <f t="shared" si="4"/>
        <v>- -</v>
      </c>
      <c r="S37" s="207"/>
      <c r="T37" s="208">
        <f t="shared" si="5"/>
        <v>0</v>
      </c>
      <c r="U37" s="207"/>
      <c r="V37" s="209" t="str">
        <f t="shared" si="6"/>
        <v>- -</v>
      </c>
      <c r="W37" s="207"/>
      <c r="X37" s="209" t="str">
        <f t="shared" si="7"/>
        <v>- -</v>
      </c>
      <c r="Y37" s="210"/>
      <c r="Z37" s="211" t="str">
        <f t="shared" si="8"/>
        <v/>
      </c>
      <c r="AA37" s="205" t="str">
        <f t="shared" si="1"/>
        <v/>
      </c>
      <c r="AB37" s="178"/>
      <c r="AC37" s="62"/>
      <c r="AD37" s="223" t="str">
        <f t="shared" si="2"/>
        <v/>
      </c>
    </row>
    <row r="38" spans="1:30" s="13" customFormat="1" ht="20.100000000000001" customHeight="1" x14ac:dyDescent="0.2">
      <c r="A38" s="167">
        <f t="shared" si="3"/>
        <v>20</v>
      </c>
      <c r="B38" s="168"/>
      <c r="C38" s="170" t="str">
        <f>IF(Vorgaben!C38&lt;&gt;"",Vorgaben!C38,"")</f>
        <v>NN 20</v>
      </c>
      <c r="D38" s="170" t="str">
        <f>IF(Vorgaben!D38&lt;&gt;"",Vorgaben!D38,"")</f>
        <v>VN 20</v>
      </c>
      <c r="E38" s="76"/>
      <c r="F38" s="97"/>
      <c r="G38" s="98"/>
      <c r="H38" s="97"/>
      <c r="I38" s="39"/>
      <c r="J38" s="186">
        <f t="shared" si="0"/>
        <v>0</v>
      </c>
      <c r="K38" s="265"/>
      <c r="L38" s="266" t="str">
        <f t="shared" si="9"/>
        <v>- -</v>
      </c>
      <c r="M38" s="25"/>
      <c r="N38" s="55"/>
      <c r="O38" s="25"/>
      <c r="P38" s="45"/>
      <c r="Q38" s="26"/>
      <c r="R38" s="206" t="str">
        <f t="shared" si="4"/>
        <v>- -</v>
      </c>
      <c r="S38" s="207"/>
      <c r="T38" s="208">
        <f t="shared" si="5"/>
        <v>0</v>
      </c>
      <c r="U38" s="207"/>
      <c r="V38" s="209" t="str">
        <f t="shared" si="6"/>
        <v>- -</v>
      </c>
      <c r="W38" s="207"/>
      <c r="X38" s="209" t="str">
        <f t="shared" si="7"/>
        <v>- -</v>
      </c>
      <c r="Y38" s="210"/>
      <c r="Z38" s="211" t="str">
        <f t="shared" si="8"/>
        <v/>
      </c>
      <c r="AA38" s="205" t="str">
        <f t="shared" si="1"/>
        <v/>
      </c>
      <c r="AB38" s="178"/>
      <c r="AC38" s="62"/>
      <c r="AD38" s="223" t="str">
        <f t="shared" si="2"/>
        <v/>
      </c>
    </row>
    <row r="39" spans="1:30" s="13" customFormat="1" ht="20.100000000000001" customHeight="1" x14ac:dyDescent="0.2">
      <c r="A39" s="167">
        <f t="shared" si="3"/>
        <v>21</v>
      </c>
      <c r="B39" s="168"/>
      <c r="C39" s="170" t="str">
        <f>IF(Vorgaben!C39&lt;&gt;"",Vorgaben!C39,"")</f>
        <v>NN 21</v>
      </c>
      <c r="D39" s="170" t="str">
        <f>IF(Vorgaben!D39&lt;&gt;"",Vorgaben!D39,"")</f>
        <v>VN 21</v>
      </c>
      <c r="E39" s="76"/>
      <c r="F39" s="97"/>
      <c r="G39" s="98"/>
      <c r="H39" s="97"/>
      <c r="I39" s="39"/>
      <c r="J39" s="186">
        <f t="shared" si="0"/>
        <v>0</v>
      </c>
      <c r="K39" s="265"/>
      <c r="L39" s="266" t="str">
        <f t="shared" si="9"/>
        <v>- -</v>
      </c>
      <c r="M39" s="25"/>
      <c r="N39" s="55"/>
      <c r="O39" s="25"/>
      <c r="P39" s="45"/>
      <c r="Q39" s="26"/>
      <c r="R39" s="206" t="str">
        <f t="shared" si="4"/>
        <v>- -</v>
      </c>
      <c r="S39" s="207"/>
      <c r="T39" s="208">
        <f t="shared" si="5"/>
        <v>0</v>
      </c>
      <c r="U39" s="207"/>
      <c r="V39" s="209" t="str">
        <f t="shared" si="6"/>
        <v>- -</v>
      </c>
      <c r="W39" s="207"/>
      <c r="X39" s="209" t="str">
        <f t="shared" si="7"/>
        <v>- -</v>
      </c>
      <c r="Y39" s="210"/>
      <c r="Z39" s="211" t="str">
        <f t="shared" si="8"/>
        <v/>
      </c>
      <c r="AA39" s="205" t="str">
        <f t="shared" si="1"/>
        <v/>
      </c>
      <c r="AB39" s="178"/>
      <c r="AC39" s="62"/>
      <c r="AD39" s="223" t="str">
        <f t="shared" si="2"/>
        <v/>
      </c>
    </row>
    <row r="40" spans="1:30" s="13" customFormat="1" ht="20.100000000000001" customHeight="1" x14ac:dyDescent="0.2">
      <c r="A40" s="167">
        <f t="shared" si="3"/>
        <v>22</v>
      </c>
      <c r="B40" s="168"/>
      <c r="C40" s="170" t="str">
        <f>IF(Vorgaben!C40&lt;&gt;"",Vorgaben!C40,"")</f>
        <v>NN 22</v>
      </c>
      <c r="D40" s="170" t="str">
        <f>IF(Vorgaben!D40&lt;&gt;"",Vorgaben!D40,"")</f>
        <v>VN 22</v>
      </c>
      <c r="E40" s="76"/>
      <c r="F40" s="97"/>
      <c r="G40" s="98"/>
      <c r="H40" s="97"/>
      <c r="I40" s="39"/>
      <c r="J40" s="186">
        <f t="shared" si="0"/>
        <v>0</v>
      </c>
      <c r="K40" s="265"/>
      <c r="L40" s="266" t="str">
        <f t="shared" si="9"/>
        <v>- -</v>
      </c>
      <c r="M40" s="25"/>
      <c r="N40" s="55"/>
      <c r="O40" s="25"/>
      <c r="P40" s="45"/>
      <c r="Q40" s="26"/>
      <c r="R40" s="206" t="str">
        <f t="shared" si="4"/>
        <v>- -</v>
      </c>
      <c r="S40" s="207"/>
      <c r="T40" s="208">
        <f t="shared" si="5"/>
        <v>0</v>
      </c>
      <c r="U40" s="207"/>
      <c r="V40" s="209" t="str">
        <f t="shared" si="6"/>
        <v>- -</v>
      </c>
      <c r="W40" s="207"/>
      <c r="X40" s="209" t="str">
        <f t="shared" si="7"/>
        <v>- -</v>
      </c>
      <c r="Y40" s="210"/>
      <c r="Z40" s="211" t="str">
        <f t="shared" si="8"/>
        <v/>
      </c>
      <c r="AA40" s="205" t="str">
        <f t="shared" si="1"/>
        <v/>
      </c>
      <c r="AB40" s="178"/>
      <c r="AC40" s="62"/>
      <c r="AD40" s="223" t="str">
        <f t="shared" si="2"/>
        <v/>
      </c>
    </row>
    <row r="41" spans="1:30" s="13" customFormat="1" ht="20.100000000000001" customHeight="1" x14ac:dyDescent="0.2">
      <c r="A41" s="167">
        <f t="shared" si="3"/>
        <v>23</v>
      </c>
      <c r="B41" s="168"/>
      <c r="C41" s="171" t="str">
        <f>IF(Vorgaben!C41&lt;&gt;"",Vorgaben!C41,"")</f>
        <v>NN 23</v>
      </c>
      <c r="D41" s="171" t="str">
        <f>IF(Vorgaben!D41&lt;&gt;"",Vorgaben!D41,"")</f>
        <v>VN 23</v>
      </c>
      <c r="E41" s="76"/>
      <c r="F41" s="97"/>
      <c r="G41" s="98"/>
      <c r="H41" s="97"/>
      <c r="I41" s="39"/>
      <c r="J41" s="186">
        <f t="shared" si="0"/>
        <v>0</v>
      </c>
      <c r="K41" s="265"/>
      <c r="L41" s="266" t="str">
        <f t="shared" si="9"/>
        <v>- -</v>
      </c>
      <c r="M41" s="25"/>
      <c r="N41" s="55"/>
      <c r="O41" s="25"/>
      <c r="P41" s="45"/>
      <c r="Q41" s="26"/>
      <c r="R41" s="206" t="str">
        <f t="shared" si="4"/>
        <v>- -</v>
      </c>
      <c r="S41" s="207"/>
      <c r="T41" s="208">
        <f t="shared" si="5"/>
        <v>0</v>
      </c>
      <c r="U41" s="207"/>
      <c r="V41" s="209" t="str">
        <f t="shared" si="6"/>
        <v>- -</v>
      </c>
      <c r="W41" s="207"/>
      <c r="X41" s="209" t="str">
        <f t="shared" si="7"/>
        <v>- -</v>
      </c>
      <c r="Y41" s="210"/>
      <c r="Z41" s="211" t="str">
        <f t="shared" si="8"/>
        <v/>
      </c>
      <c r="AA41" s="205" t="str">
        <f t="shared" si="1"/>
        <v/>
      </c>
      <c r="AB41" s="178"/>
      <c r="AC41" s="62"/>
      <c r="AD41" s="223" t="str">
        <f t="shared" si="2"/>
        <v/>
      </c>
    </row>
    <row r="42" spans="1:30" s="13" customFormat="1" ht="20.100000000000001" customHeight="1" x14ac:dyDescent="0.2">
      <c r="A42" s="167">
        <f t="shared" si="3"/>
        <v>24</v>
      </c>
      <c r="B42" s="168"/>
      <c r="C42" s="171" t="str">
        <f>IF(Vorgaben!C42&lt;&gt;"",Vorgaben!C42,"")</f>
        <v>NN 24</v>
      </c>
      <c r="D42" s="171" t="str">
        <f>IF(Vorgaben!D42&lt;&gt;"",Vorgaben!D42,"")</f>
        <v>VN 24</v>
      </c>
      <c r="E42" s="76"/>
      <c r="F42" s="97"/>
      <c r="G42" s="98"/>
      <c r="H42" s="97"/>
      <c r="I42" s="39"/>
      <c r="J42" s="186">
        <f t="shared" si="0"/>
        <v>0</v>
      </c>
      <c r="K42" s="265"/>
      <c r="L42" s="266" t="str">
        <f t="shared" si="9"/>
        <v>- -</v>
      </c>
      <c r="M42" s="25"/>
      <c r="N42" s="55"/>
      <c r="O42" s="25"/>
      <c r="P42" s="45"/>
      <c r="Q42" s="26"/>
      <c r="R42" s="206" t="str">
        <f t="shared" si="4"/>
        <v>- -</v>
      </c>
      <c r="S42" s="207"/>
      <c r="T42" s="208">
        <f t="shared" si="5"/>
        <v>0</v>
      </c>
      <c r="U42" s="207"/>
      <c r="V42" s="209" t="str">
        <f t="shared" si="6"/>
        <v>- -</v>
      </c>
      <c r="W42" s="207"/>
      <c r="X42" s="209" t="str">
        <f t="shared" si="7"/>
        <v>- -</v>
      </c>
      <c r="Y42" s="210"/>
      <c r="Z42" s="211" t="str">
        <f t="shared" si="8"/>
        <v/>
      </c>
      <c r="AA42" s="205" t="str">
        <f t="shared" si="1"/>
        <v/>
      </c>
      <c r="AB42" s="178"/>
      <c r="AC42" s="62"/>
      <c r="AD42" s="223" t="str">
        <f t="shared" si="2"/>
        <v/>
      </c>
    </row>
    <row r="43" spans="1:30" s="13" customFormat="1" ht="20.100000000000001" customHeight="1" x14ac:dyDescent="0.2">
      <c r="A43" s="167">
        <f t="shared" si="3"/>
        <v>25</v>
      </c>
      <c r="B43" s="168"/>
      <c r="C43" s="171" t="str">
        <f>IF(Vorgaben!C43&lt;&gt;"",Vorgaben!C43,"")</f>
        <v>NN 25</v>
      </c>
      <c r="D43" s="171" t="str">
        <f>IF(Vorgaben!D43&lt;&gt;"",Vorgaben!D43,"")</f>
        <v>VN 25</v>
      </c>
      <c r="E43" s="76"/>
      <c r="F43" s="97"/>
      <c r="G43" s="98"/>
      <c r="H43" s="97"/>
      <c r="I43" s="39"/>
      <c r="J43" s="186">
        <f t="shared" si="0"/>
        <v>0</v>
      </c>
      <c r="K43" s="265"/>
      <c r="L43" s="266" t="str">
        <f t="shared" si="9"/>
        <v>- -</v>
      </c>
      <c r="M43" s="25"/>
      <c r="N43" s="55"/>
      <c r="O43" s="25"/>
      <c r="P43" s="45"/>
      <c r="Q43" s="26"/>
      <c r="R43" s="206" t="str">
        <f t="shared" si="4"/>
        <v>- -</v>
      </c>
      <c r="S43" s="207"/>
      <c r="T43" s="208">
        <f t="shared" si="5"/>
        <v>0</v>
      </c>
      <c r="U43" s="207"/>
      <c r="V43" s="209" t="str">
        <f t="shared" si="6"/>
        <v>- -</v>
      </c>
      <c r="W43" s="207"/>
      <c r="X43" s="209" t="str">
        <f t="shared" si="7"/>
        <v>- -</v>
      </c>
      <c r="Y43" s="210"/>
      <c r="Z43" s="211" t="str">
        <f t="shared" si="8"/>
        <v/>
      </c>
      <c r="AA43" s="205" t="str">
        <f t="shared" si="1"/>
        <v/>
      </c>
      <c r="AB43" s="178"/>
      <c r="AC43" s="62"/>
      <c r="AD43" s="223" t="str">
        <f t="shared" si="2"/>
        <v/>
      </c>
    </row>
    <row r="44" spans="1:30" s="13" customFormat="1" ht="20.100000000000001" customHeight="1" x14ac:dyDescent="0.2">
      <c r="A44" s="167">
        <f t="shared" si="3"/>
        <v>26</v>
      </c>
      <c r="B44" s="168"/>
      <c r="C44" s="170" t="str">
        <f>IF(Vorgaben!C44&lt;&gt;"",Vorgaben!C44,"")</f>
        <v>NN 26</v>
      </c>
      <c r="D44" s="170" t="str">
        <f>IF(Vorgaben!D44&lt;&gt;"",Vorgaben!D44,"")</f>
        <v>VN 26</v>
      </c>
      <c r="E44" s="76"/>
      <c r="F44" s="97"/>
      <c r="G44" s="98"/>
      <c r="H44" s="97"/>
      <c r="I44" s="39"/>
      <c r="J44" s="186">
        <f t="shared" si="0"/>
        <v>0</v>
      </c>
      <c r="K44" s="265"/>
      <c r="L44" s="266" t="str">
        <f t="shared" si="9"/>
        <v>- -</v>
      </c>
      <c r="M44" s="25"/>
      <c r="N44" s="55"/>
      <c r="O44" s="25"/>
      <c r="P44" s="45"/>
      <c r="Q44" s="26"/>
      <c r="R44" s="206" t="str">
        <f t="shared" si="4"/>
        <v>- -</v>
      </c>
      <c r="S44" s="207"/>
      <c r="T44" s="208">
        <f t="shared" si="5"/>
        <v>0</v>
      </c>
      <c r="U44" s="207"/>
      <c r="V44" s="209" t="str">
        <f t="shared" si="6"/>
        <v>- -</v>
      </c>
      <c r="W44" s="207"/>
      <c r="X44" s="209" t="str">
        <f t="shared" si="7"/>
        <v>- -</v>
      </c>
      <c r="Y44" s="210"/>
      <c r="Z44" s="211" t="str">
        <f t="shared" si="8"/>
        <v/>
      </c>
      <c r="AA44" s="205" t="str">
        <f t="shared" si="1"/>
        <v/>
      </c>
      <c r="AB44" s="178"/>
      <c r="AC44" s="62"/>
      <c r="AD44" s="223" t="str">
        <f t="shared" si="2"/>
        <v/>
      </c>
    </row>
    <row r="45" spans="1:30" s="13" customFormat="1" ht="20.100000000000001" customHeight="1" x14ac:dyDescent="0.2">
      <c r="A45" s="167">
        <f t="shared" si="3"/>
        <v>27</v>
      </c>
      <c r="B45" s="168"/>
      <c r="C45" s="170" t="str">
        <f>IF(Vorgaben!C45&lt;&gt;"",Vorgaben!C45,"")</f>
        <v>NN 27</v>
      </c>
      <c r="D45" s="170" t="str">
        <f>IF(Vorgaben!D45&lt;&gt;"",Vorgaben!D45,"")</f>
        <v>VN 27</v>
      </c>
      <c r="E45" s="76"/>
      <c r="F45" s="97"/>
      <c r="G45" s="98"/>
      <c r="H45" s="97"/>
      <c r="I45" s="39"/>
      <c r="J45" s="186">
        <f t="shared" si="0"/>
        <v>0</v>
      </c>
      <c r="K45" s="265"/>
      <c r="L45" s="266" t="str">
        <f t="shared" si="9"/>
        <v>- -</v>
      </c>
      <c r="M45" s="25"/>
      <c r="N45" s="55"/>
      <c r="O45" s="25"/>
      <c r="P45" s="45"/>
      <c r="Q45" s="26"/>
      <c r="R45" s="206" t="str">
        <f t="shared" si="4"/>
        <v>- -</v>
      </c>
      <c r="S45" s="207"/>
      <c r="T45" s="208">
        <f t="shared" si="5"/>
        <v>0</v>
      </c>
      <c r="U45" s="207"/>
      <c r="V45" s="209" t="str">
        <f t="shared" si="6"/>
        <v>- -</v>
      </c>
      <c r="W45" s="207"/>
      <c r="X45" s="209" t="str">
        <f t="shared" si="7"/>
        <v>- -</v>
      </c>
      <c r="Y45" s="210"/>
      <c r="Z45" s="211" t="str">
        <f t="shared" si="8"/>
        <v/>
      </c>
      <c r="AA45" s="205" t="str">
        <f t="shared" si="1"/>
        <v/>
      </c>
      <c r="AB45" s="178"/>
      <c r="AC45" s="62"/>
      <c r="AD45" s="223" t="str">
        <f t="shared" si="2"/>
        <v/>
      </c>
    </row>
    <row r="46" spans="1:30" s="13" customFormat="1" ht="20.100000000000001" customHeight="1" x14ac:dyDescent="0.2">
      <c r="A46" s="167">
        <f t="shared" si="3"/>
        <v>28</v>
      </c>
      <c r="B46" s="168"/>
      <c r="C46" s="170" t="str">
        <f>IF(Vorgaben!C46&lt;&gt;"",Vorgaben!C46,"")</f>
        <v>NN 28</v>
      </c>
      <c r="D46" s="170" t="str">
        <f>IF(Vorgaben!D46&lt;&gt;"",Vorgaben!D46,"")</f>
        <v>VN 28</v>
      </c>
      <c r="E46" s="77"/>
      <c r="F46" s="97"/>
      <c r="G46" s="98"/>
      <c r="H46" s="97"/>
      <c r="I46" s="43"/>
      <c r="J46" s="186">
        <f t="shared" si="0"/>
        <v>0</v>
      </c>
      <c r="K46" s="187"/>
      <c r="L46" s="266" t="str">
        <f t="shared" si="9"/>
        <v>- -</v>
      </c>
      <c r="M46" s="25"/>
      <c r="N46" s="55"/>
      <c r="O46" s="54"/>
      <c r="P46" s="45"/>
      <c r="Q46" s="26"/>
      <c r="R46" s="206" t="str">
        <f>IF($C46&lt;&gt;"",IF(OR(L46="x",N46="j"),IF(P46="","- -",(5*$F46+3*$H46+2*$P46)/10),"- -"),"")</f>
        <v>- -</v>
      </c>
      <c r="S46" s="207"/>
      <c r="T46" s="208">
        <f>IF($C46&lt;&gt;"",IF(J46=0,H46,"- -"),"")</f>
        <v>0</v>
      </c>
      <c r="U46" s="207"/>
      <c r="V46" s="209" t="str">
        <f>IF($C46&lt;&gt;"",IF(J46&lt;&gt;1,"- -",IF(AND($AC46&lt;&gt;"",$AD46=""),$AC46,"f")),"")</f>
        <v>- -</v>
      </c>
      <c r="W46" s="207"/>
      <c r="X46" s="209" t="str">
        <f>IF($C46&lt;&gt;"",IF(AND(J46=2,N46="n"),(F46+H46)/2,"- -"),"")</f>
        <v>- -</v>
      </c>
      <c r="Y46" s="210"/>
      <c r="Z46" s="211" t="str">
        <f>IF($C46&lt;&gt;"",IF(OR(F46="",H46=""),"",IF(OR(R46="- -",R46=""),"",ROUND(R46-0.05,0))&amp;IF(T46="- -","",T46)&amp;IF(OR(V46="- -",V46="f"),"",V46)&amp;IF(X46="- -","",X46)),"")</f>
        <v/>
      </c>
      <c r="AA46" s="205" t="str">
        <f t="shared" si="1"/>
        <v/>
      </c>
      <c r="AB46" s="178"/>
      <c r="AC46" s="62"/>
      <c r="AD46" s="223" t="str">
        <f t="shared" si="2"/>
        <v/>
      </c>
    </row>
    <row r="47" spans="1:30" s="13" customFormat="1" ht="20.100000000000001" customHeight="1" x14ac:dyDescent="0.2">
      <c r="A47" s="167">
        <f t="shared" si="3"/>
        <v>29</v>
      </c>
      <c r="B47" s="168"/>
      <c r="C47" s="170" t="str">
        <f>IF(Vorgaben!C47&lt;&gt;"",Vorgaben!C47,"")</f>
        <v>NN 29</v>
      </c>
      <c r="D47" s="170" t="str">
        <f>IF(Vorgaben!D47&lt;&gt;"",Vorgaben!D47,"")</f>
        <v>VN 29</v>
      </c>
      <c r="E47" s="77"/>
      <c r="F47" s="97"/>
      <c r="G47" s="98"/>
      <c r="H47" s="97"/>
      <c r="I47" s="43"/>
      <c r="J47" s="186">
        <f t="shared" si="0"/>
        <v>0</v>
      </c>
      <c r="K47" s="187"/>
      <c r="L47" s="266" t="str">
        <f t="shared" si="9"/>
        <v>- -</v>
      </c>
      <c r="M47" s="25"/>
      <c r="N47" s="55"/>
      <c r="O47" s="54"/>
      <c r="P47" s="45"/>
      <c r="Q47" s="26"/>
      <c r="R47" s="206" t="str">
        <f t="shared" ref="R47:R54" si="10">IF($C47&lt;&gt;"",IF(OR(L47="x",N47="j"),IF(P47="","- -",(5*$F47+3*$H47+2*$P47)/10),"- -"),"")</f>
        <v>- -</v>
      </c>
      <c r="S47" s="207"/>
      <c r="T47" s="208">
        <f t="shared" ref="T47:T54" si="11">IF($C47&lt;&gt;"",IF(J47=0,H47,"- -"),"")</f>
        <v>0</v>
      </c>
      <c r="U47" s="207"/>
      <c r="V47" s="209" t="str">
        <f t="shared" ref="V47:V54" si="12">IF($C47&lt;&gt;"",IF(J47&lt;&gt;1,"- -",IF(AND($AC47&lt;&gt;"",$AD47=""),$AC47,"f")),"")</f>
        <v>- -</v>
      </c>
      <c r="W47" s="207"/>
      <c r="X47" s="209" t="str">
        <f t="shared" ref="X47:X54" si="13">IF($C47&lt;&gt;"",IF(AND(J47=2,N47="n"),(F47+H47)/2,"- -"),"")</f>
        <v>- -</v>
      </c>
      <c r="Y47" s="210"/>
      <c r="Z47" s="211" t="str">
        <f t="shared" ref="Z47:Z54" si="14">IF($C47&lt;&gt;"",IF(OR(F47="",H47=""),"",IF(OR(R47="- -",R47=""),"",ROUND(R47-0.05,0))&amp;IF(T47="- -","",T47)&amp;IF(OR(V47="- -",V47="f"),"",V47)&amp;IF(X47="- -","",X47)),"")</f>
        <v/>
      </c>
      <c r="AA47" s="205" t="str">
        <f t="shared" si="1"/>
        <v/>
      </c>
      <c r="AB47" s="178"/>
      <c r="AC47" s="62"/>
      <c r="AD47" s="223" t="str">
        <f t="shared" si="2"/>
        <v/>
      </c>
    </row>
    <row r="48" spans="1:30" s="13" customFormat="1" ht="20.100000000000001" customHeight="1" x14ac:dyDescent="0.2">
      <c r="A48" s="167">
        <f t="shared" si="3"/>
        <v>30</v>
      </c>
      <c r="B48" s="168"/>
      <c r="C48" s="170" t="str">
        <f>IF(Vorgaben!C48&lt;&gt;"",Vorgaben!C48,"")</f>
        <v>NN 30</v>
      </c>
      <c r="D48" s="170" t="str">
        <f>IF(Vorgaben!D48&lt;&gt;"",Vorgaben!D48,"")</f>
        <v>VN 30</v>
      </c>
      <c r="E48" s="77"/>
      <c r="F48" s="97"/>
      <c r="G48" s="98"/>
      <c r="H48" s="97"/>
      <c r="I48" s="43"/>
      <c r="J48" s="186">
        <f t="shared" si="0"/>
        <v>0</v>
      </c>
      <c r="K48" s="187"/>
      <c r="L48" s="266" t="str">
        <f t="shared" si="9"/>
        <v>- -</v>
      </c>
      <c r="M48" s="25"/>
      <c r="N48" s="55"/>
      <c r="O48" s="54"/>
      <c r="P48" s="45"/>
      <c r="Q48" s="26"/>
      <c r="R48" s="206" t="str">
        <f t="shared" si="10"/>
        <v>- -</v>
      </c>
      <c r="S48" s="207"/>
      <c r="T48" s="208">
        <f t="shared" si="11"/>
        <v>0</v>
      </c>
      <c r="U48" s="207"/>
      <c r="V48" s="209" t="str">
        <f t="shared" si="12"/>
        <v>- -</v>
      </c>
      <c r="W48" s="207"/>
      <c r="X48" s="209" t="str">
        <f t="shared" si="13"/>
        <v>- -</v>
      </c>
      <c r="Y48" s="210"/>
      <c r="Z48" s="211" t="str">
        <f t="shared" si="14"/>
        <v/>
      </c>
      <c r="AA48" s="205" t="str">
        <f t="shared" si="1"/>
        <v/>
      </c>
      <c r="AB48" s="178"/>
      <c r="AC48" s="62"/>
      <c r="AD48" s="223" t="str">
        <f t="shared" si="2"/>
        <v/>
      </c>
    </row>
    <row r="49" spans="1:30" s="13" customFormat="1" ht="20.100000000000001" customHeight="1" x14ac:dyDescent="0.2">
      <c r="A49" s="167">
        <f t="shared" si="3"/>
        <v>31</v>
      </c>
      <c r="B49" s="168"/>
      <c r="C49" s="170" t="str">
        <f>IF(Vorgaben!C49&lt;&gt;"",Vorgaben!C49,"")</f>
        <v>NN 31</v>
      </c>
      <c r="D49" s="170" t="str">
        <f>IF(Vorgaben!D49&lt;&gt;"",Vorgaben!D49,"")</f>
        <v>VN 31</v>
      </c>
      <c r="E49" s="77"/>
      <c r="F49" s="97"/>
      <c r="G49" s="98"/>
      <c r="H49" s="97"/>
      <c r="I49" s="43"/>
      <c r="J49" s="186">
        <f t="shared" si="0"/>
        <v>0</v>
      </c>
      <c r="K49" s="187"/>
      <c r="L49" s="266" t="str">
        <f t="shared" si="9"/>
        <v>- -</v>
      </c>
      <c r="M49" s="25"/>
      <c r="N49" s="55"/>
      <c r="O49" s="54"/>
      <c r="P49" s="45"/>
      <c r="Q49" s="26"/>
      <c r="R49" s="206" t="str">
        <f t="shared" si="10"/>
        <v>- -</v>
      </c>
      <c r="S49" s="207"/>
      <c r="T49" s="208">
        <f t="shared" si="11"/>
        <v>0</v>
      </c>
      <c r="U49" s="207"/>
      <c r="V49" s="209" t="str">
        <f t="shared" si="12"/>
        <v>- -</v>
      </c>
      <c r="W49" s="207"/>
      <c r="X49" s="209" t="str">
        <f t="shared" si="13"/>
        <v>- -</v>
      </c>
      <c r="Y49" s="210"/>
      <c r="Z49" s="211" t="str">
        <f t="shared" si="14"/>
        <v/>
      </c>
      <c r="AA49" s="205" t="str">
        <f t="shared" si="1"/>
        <v/>
      </c>
      <c r="AB49" s="178"/>
      <c r="AC49" s="62"/>
      <c r="AD49" s="223" t="str">
        <f t="shared" si="2"/>
        <v/>
      </c>
    </row>
    <row r="50" spans="1:30" s="13" customFormat="1" ht="20.100000000000001" customHeight="1" x14ac:dyDescent="0.2">
      <c r="A50" s="167">
        <f t="shared" si="3"/>
        <v>32</v>
      </c>
      <c r="B50" s="168"/>
      <c r="C50" s="170" t="str">
        <f>IF(Vorgaben!C50&lt;&gt;"",Vorgaben!C50,"")</f>
        <v>NN 32</v>
      </c>
      <c r="D50" s="170" t="str">
        <f>IF(Vorgaben!D50&lt;&gt;"",Vorgaben!D50,"")</f>
        <v>VN 32</v>
      </c>
      <c r="E50" s="77"/>
      <c r="F50" s="97"/>
      <c r="G50" s="98"/>
      <c r="H50" s="97"/>
      <c r="I50" s="43"/>
      <c r="J50" s="186">
        <f t="shared" si="0"/>
        <v>0</v>
      </c>
      <c r="K50" s="187"/>
      <c r="L50" s="266" t="str">
        <f t="shared" si="9"/>
        <v>- -</v>
      </c>
      <c r="M50" s="25"/>
      <c r="N50" s="55"/>
      <c r="O50" s="54"/>
      <c r="P50" s="45"/>
      <c r="Q50" s="26"/>
      <c r="R50" s="206" t="str">
        <f t="shared" si="10"/>
        <v>- -</v>
      </c>
      <c r="S50" s="207"/>
      <c r="T50" s="208">
        <f t="shared" si="11"/>
        <v>0</v>
      </c>
      <c r="U50" s="207"/>
      <c r="V50" s="209" t="str">
        <f t="shared" si="12"/>
        <v>- -</v>
      </c>
      <c r="W50" s="207"/>
      <c r="X50" s="209" t="str">
        <f t="shared" si="13"/>
        <v>- -</v>
      </c>
      <c r="Y50" s="210"/>
      <c r="Z50" s="211" t="str">
        <f t="shared" si="14"/>
        <v/>
      </c>
      <c r="AA50" s="205" t="str">
        <f t="shared" si="1"/>
        <v/>
      </c>
      <c r="AB50" s="178"/>
      <c r="AC50" s="62"/>
      <c r="AD50" s="223" t="str">
        <f t="shared" si="2"/>
        <v/>
      </c>
    </row>
    <row r="51" spans="1:30" s="13" customFormat="1" ht="20.100000000000001" customHeight="1" x14ac:dyDescent="0.2">
      <c r="A51" s="167">
        <f t="shared" si="3"/>
        <v>33</v>
      </c>
      <c r="B51" s="168"/>
      <c r="C51" s="170" t="str">
        <f>IF(Vorgaben!C51&lt;&gt;"",Vorgaben!C51,"")</f>
        <v>NN 33</v>
      </c>
      <c r="D51" s="170" t="str">
        <f>IF(Vorgaben!D51&lt;&gt;"",Vorgaben!D51,"")</f>
        <v>VN 33</v>
      </c>
      <c r="E51" s="77"/>
      <c r="F51" s="97"/>
      <c r="G51" s="98"/>
      <c r="H51" s="97"/>
      <c r="I51" s="43"/>
      <c r="J51" s="186">
        <f t="shared" si="0"/>
        <v>0</v>
      </c>
      <c r="K51" s="187"/>
      <c r="L51" s="266" t="str">
        <f t="shared" si="9"/>
        <v>- -</v>
      </c>
      <c r="M51" s="25"/>
      <c r="N51" s="55"/>
      <c r="O51" s="54"/>
      <c r="P51" s="45"/>
      <c r="Q51" s="26"/>
      <c r="R51" s="206" t="str">
        <f t="shared" si="10"/>
        <v>- -</v>
      </c>
      <c r="S51" s="207"/>
      <c r="T51" s="208">
        <f t="shared" si="11"/>
        <v>0</v>
      </c>
      <c r="U51" s="207"/>
      <c r="V51" s="209" t="str">
        <f t="shared" si="12"/>
        <v>- -</v>
      </c>
      <c r="W51" s="207"/>
      <c r="X51" s="209" t="str">
        <f t="shared" si="13"/>
        <v>- -</v>
      </c>
      <c r="Y51" s="210"/>
      <c r="Z51" s="211" t="str">
        <f t="shared" si="14"/>
        <v/>
      </c>
      <c r="AA51" s="205" t="str">
        <f t="shared" si="1"/>
        <v/>
      </c>
      <c r="AB51" s="178"/>
      <c r="AC51" s="62"/>
      <c r="AD51" s="223" t="str">
        <f t="shared" si="2"/>
        <v/>
      </c>
    </row>
    <row r="52" spans="1:30" s="13" customFormat="1" ht="20.100000000000001" customHeight="1" x14ac:dyDescent="0.2">
      <c r="A52" s="167">
        <f t="shared" si="3"/>
        <v>34</v>
      </c>
      <c r="B52" s="168"/>
      <c r="C52" s="170" t="str">
        <f>IF(Vorgaben!C52&lt;&gt;"",Vorgaben!C52,"")</f>
        <v>NN 34</v>
      </c>
      <c r="D52" s="170" t="str">
        <f>IF(Vorgaben!D52&lt;&gt;"",Vorgaben!D52,"")</f>
        <v>VN 34</v>
      </c>
      <c r="E52" s="77"/>
      <c r="F52" s="97"/>
      <c r="G52" s="98"/>
      <c r="H52" s="97"/>
      <c r="I52" s="43"/>
      <c r="J52" s="186">
        <f t="shared" si="0"/>
        <v>0</v>
      </c>
      <c r="K52" s="187"/>
      <c r="L52" s="266" t="str">
        <f t="shared" si="9"/>
        <v>- -</v>
      </c>
      <c r="M52" s="25"/>
      <c r="N52" s="55"/>
      <c r="O52" s="54"/>
      <c r="P52" s="45"/>
      <c r="Q52" s="26"/>
      <c r="R52" s="206" t="str">
        <f t="shared" si="10"/>
        <v>- -</v>
      </c>
      <c r="S52" s="207"/>
      <c r="T52" s="208">
        <f t="shared" si="11"/>
        <v>0</v>
      </c>
      <c r="U52" s="207"/>
      <c r="V52" s="209" t="str">
        <f t="shared" si="12"/>
        <v>- -</v>
      </c>
      <c r="W52" s="207"/>
      <c r="X52" s="209" t="str">
        <f t="shared" si="13"/>
        <v>- -</v>
      </c>
      <c r="Y52" s="210"/>
      <c r="Z52" s="211" t="str">
        <f t="shared" si="14"/>
        <v/>
      </c>
      <c r="AA52" s="205" t="str">
        <f t="shared" si="1"/>
        <v/>
      </c>
      <c r="AB52" s="178"/>
      <c r="AC52" s="62"/>
      <c r="AD52" s="223" t="str">
        <f t="shared" si="2"/>
        <v/>
      </c>
    </row>
    <row r="53" spans="1:30" s="13" customFormat="1" ht="20.100000000000001" customHeight="1" x14ac:dyDescent="0.2">
      <c r="A53" s="167">
        <f t="shared" si="3"/>
        <v>35</v>
      </c>
      <c r="B53" s="168"/>
      <c r="C53" s="170" t="str">
        <f>IF(Vorgaben!C53&lt;&gt;"",Vorgaben!C53,"")</f>
        <v>NN 35</v>
      </c>
      <c r="D53" s="170" t="str">
        <f>IF(Vorgaben!D53&lt;&gt;"",Vorgaben!D53,"")</f>
        <v>VN 35</v>
      </c>
      <c r="E53" s="77"/>
      <c r="F53" s="97"/>
      <c r="G53" s="98"/>
      <c r="H53" s="97"/>
      <c r="I53" s="43"/>
      <c r="J53" s="186">
        <f t="shared" si="0"/>
        <v>0</v>
      </c>
      <c r="K53" s="187"/>
      <c r="L53" s="266" t="str">
        <f t="shared" si="9"/>
        <v>- -</v>
      </c>
      <c r="M53" s="25"/>
      <c r="N53" s="55"/>
      <c r="O53" s="54"/>
      <c r="P53" s="45"/>
      <c r="Q53" s="26"/>
      <c r="R53" s="206" t="str">
        <f t="shared" si="10"/>
        <v>- -</v>
      </c>
      <c r="S53" s="207"/>
      <c r="T53" s="208">
        <f t="shared" si="11"/>
        <v>0</v>
      </c>
      <c r="U53" s="207"/>
      <c r="V53" s="209" t="str">
        <f t="shared" si="12"/>
        <v>- -</v>
      </c>
      <c r="W53" s="207"/>
      <c r="X53" s="209" t="str">
        <f t="shared" si="13"/>
        <v>- -</v>
      </c>
      <c r="Y53" s="210"/>
      <c r="Z53" s="211" t="str">
        <f t="shared" si="14"/>
        <v/>
      </c>
      <c r="AA53" s="205" t="str">
        <f t="shared" si="1"/>
        <v/>
      </c>
      <c r="AB53" s="178"/>
      <c r="AC53" s="62"/>
      <c r="AD53" s="223" t="str">
        <f t="shared" si="2"/>
        <v/>
      </c>
    </row>
    <row r="54" spans="1:30" s="13" customFormat="1" ht="20.100000000000001" customHeight="1" thickBot="1" x14ac:dyDescent="0.25">
      <c r="A54" s="167">
        <f t="shared" si="3"/>
        <v>36</v>
      </c>
      <c r="B54" s="168"/>
      <c r="C54" s="170" t="str">
        <f>IF(Vorgaben!C54&lt;&gt;"",Vorgaben!C54,"")</f>
        <v>NN 36</v>
      </c>
      <c r="D54" s="170" t="str">
        <f>IF(Vorgaben!D54&lt;&gt;"",Vorgaben!D54,"")</f>
        <v>VN 36</v>
      </c>
      <c r="E54" s="77"/>
      <c r="F54" s="97"/>
      <c r="G54" s="98"/>
      <c r="H54" s="97"/>
      <c r="I54" s="43"/>
      <c r="J54" s="186">
        <f t="shared" si="0"/>
        <v>0</v>
      </c>
      <c r="K54" s="187"/>
      <c r="L54" s="266" t="str">
        <f t="shared" si="9"/>
        <v>- -</v>
      </c>
      <c r="M54" s="25"/>
      <c r="N54" s="55"/>
      <c r="O54" s="54"/>
      <c r="P54" s="45"/>
      <c r="Q54" s="26"/>
      <c r="R54" s="206" t="str">
        <f t="shared" si="10"/>
        <v>- -</v>
      </c>
      <c r="S54" s="207"/>
      <c r="T54" s="208">
        <f t="shared" si="11"/>
        <v>0</v>
      </c>
      <c r="U54" s="207"/>
      <c r="V54" s="209" t="str">
        <f t="shared" si="12"/>
        <v>- -</v>
      </c>
      <c r="W54" s="207"/>
      <c r="X54" s="209" t="str">
        <f t="shared" si="13"/>
        <v>- -</v>
      </c>
      <c r="Y54" s="210"/>
      <c r="Z54" s="211" t="str">
        <f t="shared" si="14"/>
        <v/>
      </c>
      <c r="AA54" s="205" t="str">
        <f t="shared" si="1"/>
        <v/>
      </c>
      <c r="AB54" s="178"/>
      <c r="AC54" s="62"/>
      <c r="AD54" s="223" t="str">
        <f t="shared" si="2"/>
        <v/>
      </c>
    </row>
    <row r="55" spans="1:30" s="13" customFormat="1" ht="18" customHeight="1" thickTop="1" x14ac:dyDescent="0.2">
      <c r="A55" s="167"/>
      <c r="B55" s="168"/>
      <c r="C55" s="172"/>
      <c r="D55" s="172" t="s">
        <v>48</v>
      </c>
      <c r="E55" s="267"/>
      <c r="F55" s="268" t="str">
        <f>IF(ISERR(SUM(F$19:F$54)/COUNT(F$19:F$54)),"",SUM(F$19:F$54)/COUNT(F$19:F$54))</f>
        <v/>
      </c>
      <c r="G55" s="189"/>
      <c r="H55" s="268" t="str">
        <f>IF(ISERR(SUM(H$19:H$54)/COUNT(H$19:H$54)),"",SUM(H$19:H$54)/COUNT(H$19:H$54))</f>
        <v/>
      </c>
      <c r="I55" s="189"/>
      <c r="J55" s="190"/>
      <c r="K55" s="191"/>
      <c r="L55" s="192"/>
      <c r="M55" s="269"/>
      <c r="N55" s="181"/>
      <c r="O55" s="269"/>
      <c r="P55" s="270"/>
      <c r="Q55" s="271"/>
      <c r="R55" s="190"/>
      <c r="S55" s="212"/>
      <c r="T55" s="190"/>
      <c r="U55" s="212"/>
      <c r="V55" s="190"/>
      <c r="W55" s="212"/>
      <c r="X55" s="192"/>
      <c r="Y55" s="213"/>
      <c r="Z55" s="214" t="str">
        <f>IF(ISERR(SUM($AA$19:$AA$54)/COUNT($AA$19:$AA$54)),"",SUM($AA$19:$AA$54)/COUNT($AA$19:$AA$54))</f>
        <v/>
      </c>
      <c r="AA55" s="215"/>
      <c r="AB55" s="178"/>
      <c r="AC55" s="154"/>
      <c r="AD55" s="240"/>
    </row>
    <row r="56" spans="1:30" s="13" customFormat="1" ht="18" customHeight="1" thickBot="1" x14ac:dyDescent="0.25">
      <c r="A56" s="167"/>
      <c r="B56" s="168"/>
      <c r="C56" s="173"/>
      <c r="D56" s="173"/>
      <c r="E56" s="272"/>
      <c r="F56" s="273"/>
      <c r="G56" s="193"/>
      <c r="H56" s="273"/>
      <c r="I56" s="193"/>
      <c r="J56" s="193"/>
      <c r="K56" s="194"/>
      <c r="L56" s="193"/>
      <c r="M56" s="274"/>
      <c r="N56" s="193"/>
      <c r="O56" s="274"/>
      <c r="P56" s="275"/>
      <c r="Q56" s="276"/>
      <c r="R56" s="216"/>
      <c r="S56" s="217"/>
      <c r="T56" s="193"/>
      <c r="U56" s="217"/>
      <c r="V56" s="193"/>
      <c r="W56" s="217"/>
      <c r="X56" s="193"/>
      <c r="Y56" s="218"/>
      <c r="Z56" s="193"/>
      <c r="AA56" s="215"/>
      <c r="AB56" s="178"/>
      <c r="AC56" s="154"/>
      <c r="AD56" s="240"/>
    </row>
    <row r="57" spans="1:30" s="13" customFormat="1" ht="13.5" thickTop="1" x14ac:dyDescent="0.2">
      <c r="A57" s="174"/>
      <c r="B57" s="154"/>
      <c r="C57" s="175" t="s">
        <v>265</v>
      </c>
      <c r="D57" s="175"/>
      <c r="E57" s="175"/>
      <c r="F57" s="195"/>
      <c r="G57" s="195"/>
      <c r="H57" s="195"/>
      <c r="I57" s="195"/>
      <c r="J57" s="195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78"/>
      <c r="AB57" s="178"/>
      <c r="AC57" s="154"/>
      <c r="AD57" s="240"/>
    </row>
    <row r="58" spans="1:30" s="13" customFormat="1" x14ac:dyDescent="0.2">
      <c r="A58" s="174"/>
      <c r="B58" s="154"/>
      <c r="C58" s="176" t="s">
        <v>266</v>
      </c>
      <c r="D58" s="176"/>
      <c r="E58" s="176"/>
      <c r="F58" s="176"/>
      <c r="G58" s="176"/>
      <c r="H58" s="176"/>
      <c r="I58" s="176"/>
      <c r="J58" s="176"/>
      <c r="K58" s="178"/>
      <c r="L58" s="178"/>
      <c r="M58" s="178"/>
      <c r="N58" s="219" t="s">
        <v>92</v>
      </c>
      <c r="O58" s="219"/>
      <c r="P58" s="219"/>
      <c r="Q58" s="219"/>
      <c r="R58" s="219"/>
      <c r="S58" s="219"/>
      <c r="T58" s="219"/>
      <c r="U58" s="219"/>
      <c r="V58" s="178"/>
      <c r="W58" s="178"/>
      <c r="X58" s="178"/>
      <c r="Y58" s="178"/>
      <c r="Z58" s="178"/>
      <c r="AA58" s="178"/>
      <c r="AB58" s="178"/>
      <c r="AC58" s="154"/>
      <c r="AD58" s="240"/>
    </row>
    <row r="59" spans="1:30" s="13" customFormat="1" x14ac:dyDescent="0.2">
      <c r="A59" s="174"/>
      <c r="B59" s="154"/>
      <c r="C59" s="177" t="s">
        <v>267</v>
      </c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219" t="s">
        <v>86</v>
      </c>
      <c r="O59" s="219"/>
      <c r="P59" s="219"/>
      <c r="Q59" s="219"/>
      <c r="R59" s="177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54"/>
      <c r="AD59" s="240"/>
    </row>
    <row r="60" spans="1:30" s="13" customFormat="1" x14ac:dyDescent="0.2">
      <c r="A60" s="174"/>
      <c r="B60" s="154"/>
      <c r="C60" s="178" t="s">
        <v>264</v>
      </c>
      <c r="D60" s="178"/>
      <c r="E60" s="178"/>
      <c r="F60" s="178"/>
      <c r="G60" s="178"/>
      <c r="H60" s="178"/>
      <c r="I60" s="178"/>
      <c r="J60" s="178"/>
      <c r="K60" s="178"/>
      <c r="L60" s="197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54"/>
      <c r="AD60" s="240"/>
    </row>
    <row r="61" spans="1:30" s="13" customFormat="1" x14ac:dyDescent="0.2">
      <c r="A61" s="174"/>
      <c r="B61" s="154"/>
      <c r="C61" s="176" t="s">
        <v>270</v>
      </c>
      <c r="D61" s="176"/>
      <c r="E61" s="176"/>
      <c r="F61" s="176"/>
      <c r="G61" s="176"/>
      <c r="H61" s="176"/>
      <c r="I61" s="176"/>
      <c r="J61" s="176"/>
      <c r="K61" s="178"/>
      <c r="L61" s="197" t="s">
        <v>353</v>
      </c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54"/>
      <c r="AD61" s="240"/>
    </row>
    <row r="62" spans="1:30" s="13" customFormat="1" x14ac:dyDescent="0.2">
      <c r="A62" s="174"/>
      <c r="B62" s="154"/>
      <c r="C62" s="178"/>
      <c r="D62" s="178"/>
      <c r="E62" s="178"/>
      <c r="F62" s="178"/>
      <c r="G62" s="178"/>
      <c r="H62" s="178"/>
      <c r="I62" s="178"/>
      <c r="J62" s="178"/>
      <c r="K62" s="178"/>
      <c r="L62" s="197" t="s">
        <v>352</v>
      </c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54"/>
      <c r="AD62" s="240"/>
    </row>
    <row r="63" spans="1:30" s="13" customFormat="1" x14ac:dyDescent="0.2">
      <c r="A63" s="174"/>
      <c r="B63" s="154"/>
      <c r="C63" s="178"/>
      <c r="D63" s="178"/>
      <c r="E63" s="178"/>
      <c r="F63" s="178"/>
      <c r="G63" s="178"/>
      <c r="H63" s="178"/>
      <c r="I63" s="154"/>
      <c r="J63" s="154"/>
      <c r="K63" s="154"/>
      <c r="L63" s="154"/>
      <c r="M63" s="154"/>
      <c r="N63" s="154"/>
      <c r="O63" s="154"/>
      <c r="P63" s="220" t="s">
        <v>215</v>
      </c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240"/>
    </row>
    <row r="64" spans="1:30" s="13" customFormat="1" x14ac:dyDescent="0.2">
      <c r="A64" s="174"/>
      <c r="B64" s="154"/>
      <c r="C64" s="154"/>
      <c r="D64" s="154"/>
      <c r="E64" s="154"/>
      <c r="F64" s="154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220" t="s">
        <v>91</v>
      </c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240"/>
    </row>
    <row r="65" spans="1:30" s="13" customFormat="1" x14ac:dyDescent="0.2">
      <c r="A65" s="174"/>
      <c r="B65" s="154"/>
      <c r="C65" s="179" t="s">
        <v>251</v>
      </c>
      <c r="D65" s="180"/>
      <c r="E65" s="180"/>
      <c r="F65" s="180"/>
      <c r="G65" s="180"/>
      <c r="H65" s="180"/>
      <c r="I65" s="180"/>
      <c r="J65" s="180"/>
      <c r="K65" s="154"/>
      <c r="L65" s="154"/>
      <c r="M65" s="154"/>
      <c r="N65" s="154"/>
      <c r="O65" s="154"/>
      <c r="P65" s="154"/>
      <c r="Q65" s="154"/>
      <c r="R65" s="221"/>
      <c r="S65" s="221"/>
      <c r="T65" s="221"/>
      <c r="U65" s="221"/>
      <c r="V65" s="221"/>
      <c r="W65" s="221"/>
      <c r="X65" s="221"/>
      <c r="Y65" s="221"/>
      <c r="Z65" s="222" t="s">
        <v>127</v>
      </c>
      <c r="AA65" s="154"/>
      <c r="AB65" s="154"/>
      <c r="AC65" s="154"/>
      <c r="AD65" s="240"/>
    </row>
    <row r="66" spans="1:30" s="13" customFormat="1" x14ac:dyDescent="0.2">
      <c r="A66" s="174"/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240"/>
    </row>
    <row r="67" spans="1:30" s="13" customFormat="1" x14ac:dyDescent="0.2">
      <c r="A67" s="37"/>
      <c r="AD67" s="63"/>
    </row>
    <row r="68" spans="1:30" s="13" customFormat="1" x14ac:dyDescent="0.2">
      <c r="AD68" s="63"/>
    </row>
    <row r="69" spans="1:30" s="13" customFormat="1" x14ac:dyDescent="0.2">
      <c r="AD69" s="63"/>
    </row>
    <row r="70" spans="1:30" s="13" customFormat="1" x14ac:dyDescent="0.2">
      <c r="AD70" s="63"/>
    </row>
    <row r="71" spans="1:30" s="13" customFormat="1" x14ac:dyDescent="0.2">
      <c r="AD71" s="63"/>
    </row>
    <row r="72" spans="1:30" s="13" customFormat="1" x14ac:dyDescent="0.2">
      <c r="AD72" s="63"/>
    </row>
    <row r="73" spans="1:30" s="13" customFormat="1" x14ac:dyDescent="0.2">
      <c r="AD73" s="63"/>
    </row>
    <row r="74" spans="1:30" s="13" customFormat="1" x14ac:dyDescent="0.2">
      <c r="AD74" s="63"/>
    </row>
    <row r="75" spans="1:30" s="13" customFormat="1" x14ac:dyDescent="0.2">
      <c r="AD75" s="63"/>
    </row>
    <row r="76" spans="1:30" s="13" customFormat="1" x14ac:dyDescent="0.2">
      <c r="AD76" s="63"/>
    </row>
    <row r="77" spans="1:30" s="13" customFormat="1" x14ac:dyDescent="0.2">
      <c r="AD77" s="63"/>
    </row>
    <row r="78" spans="1:30" s="13" customFormat="1" x14ac:dyDescent="0.2">
      <c r="AD78" s="63"/>
    </row>
    <row r="79" spans="1:30" s="13" customFormat="1" x14ac:dyDescent="0.2">
      <c r="AD79" s="63"/>
    </row>
    <row r="80" spans="1:30" s="13" customFormat="1" x14ac:dyDescent="0.2">
      <c r="AD80" s="63"/>
    </row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="13" customFormat="1" x14ac:dyDescent="0.2"/>
    <row r="146" s="13" customFormat="1" x14ac:dyDescent="0.2"/>
    <row r="147" s="13" customFormat="1" x14ac:dyDescent="0.2"/>
    <row r="148" s="13" customFormat="1" x14ac:dyDescent="0.2"/>
    <row r="149" s="13" customFormat="1" x14ac:dyDescent="0.2"/>
    <row r="150" s="13" customFormat="1" x14ac:dyDescent="0.2"/>
    <row r="151" s="13" customFormat="1" x14ac:dyDescent="0.2"/>
    <row r="152" s="13" customFormat="1" x14ac:dyDescent="0.2"/>
    <row r="153" s="13" customFormat="1" x14ac:dyDescent="0.2"/>
  </sheetData>
  <sheetProtection sheet="1"/>
  <mergeCells count="6">
    <mergeCell ref="AC14:AC15"/>
    <mergeCell ref="K17:P17"/>
    <mergeCell ref="F14:F15"/>
    <mergeCell ref="H14:H15"/>
    <mergeCell ref="N14:N15"/>
    <mergeCell ref="P14:P15"/>
  </mergeCells>
  <phoneticPr fontId="10" type="noConversion"/>
  <conditionalFormatting sqref="P19:P54">
    <cfRule type="expression" dxfId="49" priority="1" stopIfTrue="1">
      <formula>AND($N19="j",P19="")</formula>
    </cfRule>
    <cfRule type="expression" dxfId="48" priority="2" stopIfTrue="1">
      <formula>AND($L19="x",P19="")</formula>
    </cfRule>
  </conditionalFormatting>
  <conditionalFormatting sqref="V19:V54">
    <cfRule type="cellIs" dxfId="47" priority="3" stopIfTrue="1" operator="equal">
      <formula>"f"</formula>
    </cfRule>
  </conditionalFormatting>
  <conditionalFormatting sqref="AD19:AD54">
    <cfRule type="cellIs" dxfId="46" priority="4" stopIfTrue="1" operator="equal">
      <formula>"fehlende Zensur"</formula>
    </cfRule>
    <cfRule type="cellIs" dxfId="45" priority="5" stopIfTrue="1" operator="equal">
      <formula>"falsche Zensur"</formula>
    </cfRule>
  </conditionalFormatting>
  <conditionalFormatting sqref="H22:H54 H19:H20 F19 F21:F54">
    <cfRule type="expression" dxfId="44" priority="6" stopIfTrue="1">
      <formula>IF($C19&lt;&gt;"",IF(F19="",TRUE,FALSE))</formula>
    </cfRule>
    <cfRule type="expression" dxfId="43" priority="7" stopIfTrue="1">
      <formula>IF(AND($C19&lt;&gt;"",OR(F19&lt;1,F19&gt;6)),TRUE,FALSE)</formula>
    </cfRule>
    <cfRule type="expression" dxfId="42" priority="8" stopIfTrue="1">
      <formula>IF($C19="",IF(F19&lt;&gt;"",TRUE,FALSE))</formula>
    </cfRule>
  </conditionalFormatting>
  <conditionalFormatting sqref="J19 J21:J54">
    <cfRule type="expression" dxfId="41" priority="9" stopIfTrue="1">
      <formula>IF(AND(J19=1,$AC19=""),TRUE,FALSE)</formula>
    </cfRule>
    <cfRule type="expression" dxfId="40" priority="10" stopIfTrue="1">
      <formula>IF(AND(J19=2,$N19&lt;&gt;"n",(OR($N19="",$P19=""))),TRUE,FALSE)</formula>
    </cfRule>
    <cfRule type="expression" dxfId="39" priority="11" stopIfTrue="1">
      <formula>IF(AND($C19&lt;&gt;"",J19&gt;2,$P19=""),TRUE,FALSE)</formula>
    </cfRule>
  </conditionalFormatting>
  <conditionalFormatting sqref="J20">
    <cfRule type="expression" dxfId="38" priority="12" stopIfTrue="1">
      <formula>IF(AND(J20=1,$AC20=""),TRUE,FALSE)</formula>
    </cfRule>
    <cfRule type="expression" dxfId="37" priority="13" stopIfTrue="1">
      <formula>IF(AND(J20=2,$N20&lt;&gt;"n",(OR($N20="",$P20=""))),TRUE,FALSE)</formula>
    </cfRule>
    <cfRule type="expression" dxfId="36" priority="14" stopIfTrue="1">
      <formula>IF(AND($C20&lt;&gt;"",J20&gt;2,$P20=""),TRUE,FALSE)</formula>
    </cfRule>
  </conditionalFormatting>
  <conditionalFormatting sqref="H21 F20">
    <cfRule type="expression" dxfId="35" priority="15" stopIfTrue="1">
      <formula>IF($C20&lt;&gt;"",IF(F20="",TRUE,FALSE))</formula>
    </cfRule>
    <cfRule type="expression" dxfId="34" priority="16" stopIfTrue="1">
      <formula>IF(AND($C20&lt;&gt;"",OR(F20&lt;1,F20&gt;6)),TRUE,FALSE)</formula>
    </cfRule>
    <cfRule type="expression" dxfId="33" priority="17" stopIfTrue="1">
      <formula>IF($C20="",IF(F20&lt;&gt;"",TRUE,FALSE))</formula>
    </cfRule>
  </conditionalFormatting>
  <conditionalFormatting sqref="AC19:AC54">
    <cfRule type="expression" dxfId="32" priority="18" stopIfTrue="1">
      <formula>IF(AND($J19=1,AC19=""),TRUE,FALSE)</formula>
    </cfRule>
    <cfRule type="expression" dxfId="31" priority="19" stopIfTrue="1">
      <formula>IF($AD19="falsche Zensur",TRUE,FALSE)</formula>
    </cfRule>
    <cfRule type="expression" dxfId="30" priority="20" stopIfTrue="1">
      <formula>IF(AND($J19&lt;&gt;1,AC19&lt;&gt;""),TRUE,FALSE)</formula>
    </cfRule>
  </conditionalFormatting>
  <conditionalFormatting sqref="N19:N54">
    <cfRule type="expression" dxfId="29" priority="21" stopIfTrue="1">
      <formula>AND($L19="frw. ?",N19="")</formula>
    </cfRule>
  </conditionalFormatting>
  <printOptions gridLinesSet="0"/>
  <pageMargins left="0.59055118110236227" right="0" top="0.59055118110236227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>
    <pageSetUpPr autoPageBreaks="0"/>
  </sheetPr>
  <dimension ref="A1:DR153"/>
  <sheetViews>
    <sheetView showGridLines="0" workbookViewId="0">
      <selection activeCell="O19" sqref="O19"/>
    </sheetView>
  </sheetViews>
  <sheetFormatPr baseColWidth="10" defaultColWidth="10.7109375" defaultRowHeight="12.75" x14ac:dyDescent="0.2"/>
  <cols>
    <col min="1" max="1" width="3.7109375" style="9" customWidth="1"/>
    <col min="2" max="2" width="1.7109375" style="9" customWidth="1"/>
    <col min="3" max="4" width="14.7109375" style="9" customWidth="1"/>
    <col min="5" max="5" width="1.42578125" style="9" customWidth="1"/>
    <col min="6" max="6" width="3.28515625" style="9" customWidth="1"/>
    <col min="7" max="7" width="1.42578125" style="9" customWidth="1"/>
    <col min="8" max="8" width="3.28515625" style="9" customWidth="1"/>
    <col min="9" max="9" width="1.42578125" style="9" customWidth="1"/>
    <col min="10" max="10" width="3.7109375" style="9" customWidth="1"/>
    <col min="11" max="11" width="1.42578125" style="9" customWidth="1"/>
    <col min="12" max="12" width="5.7109375" style="9" customWidth="1"/>
    <col min="13" max="13" width="1.42578125" style="9" customWidth="1"/>
    <col min="14" max="14" width="3.28515625" style="9" customWidth="1"/>
    <col min="15" max="15" width="3.7109375" style="9" customWidth="1"/>
    <col min="16" max="16" width="3.28515625" style="9" customWidth="1"/>
    <col min="17" max="17" width="1.42578125" style="9" customWidth="1"/>
    <col min="18" max="18" width="3.28515625" style="9" customWidth="1"/>
    <col min="19" max="19" width="1.42578125" style="9" customWidth="1"/>
    <col min="20" max="20" width="3.7109375" style="9" customWidth="1"/>
    <col min="21" max="21" width="1.42578125" style="9" customWidth="1"/>
    <col min="22" max="22" width="5.7109375" style="9" customWidth="1"/>
    <col min="23" max="23" width="1.42578125" style="9" customWidth="1"/>
    <col min="24" max="24" width="3.28515625" style="9" customWidth="1"/>
    <col min="25" max="25" width="1.42578125" style="9" customWidth="1"/>
    <col min="26" max="26" width="3.28515625" style="9" customWidth="1"/>
    <col min="27" max="27" width="1.42578125" style="9" customWidth="1"/>
    <col min="28" max="28" width="3.28515625" style="9" customWidth="1"/>
    <col min="29" max="29" width="1.42578125" style="9" customWidth="1"/>
    <col min="30" max="30" width="3.7109375" style="9" customWidth="1"/>
    <col min="31" max="31" width="1.5703125" style="9" customWidth="1"/>
    <col min="32" max="32" width="5.7109375" style="9" customWidth="1"/>
    <col min="33" max="33" width="1.42578125" style="9" customWidth="1"/>
    <col min="34" max="35" width="3.28515625" style="9" customWidth="1"/>
    <col min="36" max="38" width="5.7109375" style="9" customWidth="1"/>
    <col min="39" max="16384" width="10.7109375" style="9"/>
  </cols>
  <sheetData>
    <row r="1" spans="1:122" x14ac:dyDescent="0.2">
      <c r="A1" s="226"/>
      <c r="B1" s="226"/>
      <c r="C1" s="226"/>
      <c r="D1" s="227" t="s">
        <v>278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  <c r="AB1" s="141"/>
      <c r="AC1" s="141"/>
      <c r="AD1" s="141"/>
      <c r="AE1" s="141"/>
      <c r="AF1" s="141"/>
      <c r="AG1" s="141"/>
      <c r="AH1" s="141"/>
      <c r="AI1" s="141"/>
      <c r="AJ1" s="141"/>
      <c r="AK1" s="141"/>
      <c r="AL1" s="141"/>
      <c r="AM1" s="141"/>
      <c r="AN1" s="141"/>
      <c r="AO1" s="141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</row>
    <row r="2" spans="1:122" x14ac:dyDescent="0.2">
      <c r="A2" s="264"/>
      <c r="B2" s="226"/>
      <c r="C2" s="134" t="s">
        <v>276</v>
      </c>
      <c r="D2" s="227" t="str">
        <f>IF(Vorgaben!$I$8="","","  ( "&amp;Vorgaben!$I$8&amp;" )")</f>
        <v xml:space="preserve">  ( N D )</v>
      </c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1"/>
      <c r="AF2" s="141"/>
      <c r="AG2" s="141"/>
      <c r="AH2" s="141"/>
      <c r="AI2" s="141"/>
      <c r="AJ2" s="141"/>
      <c r="AK2" s="141"/>
      <c r="AL2" s="141"/>
      <c r="AM2" s="141"/>
      <c r="AN2" s="141"/>
      <c r="AO2" s="141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</row>
    <row r="3" spans="1:122" x14ac:dyDescent="0.2">
      <c r="A3" s="264"/>
      <c r="B3" s="226"/>
      <c r="C3" s="134" t="str">
        <f>Vorgaben!$J$13</f>
        <v>E</v>
      </c>
      <c r="D3" s="227" t="str">
        <f>IF(Vorgaben!$K$13="","","  ( "&amp;Vorgaben!$K$13&amp;" )")</f>
        <v xml:space="preserve">  ( N E )</v>
      </c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1"/>
      <c r="AJ3" s="141"/>
      <c r="AK3" s="141"/>
      <c r="AL3" s="141"/>
      <c r="AM3" s="141"/>
      <c r="AN3" s="141"/>
      <c r="AO3" s="141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</row>
    <row r="4" spans="1:122" x14ac:dyDescent="0.2">
      <c r="A4" s="141"/>
      <c r="B4" s="141"/>
      <c r="C4" s="134" t="s">
        <v>277</v>
      </c>
      <c r="D4" s="227" t="str">
        <f>IF(Vorgaben!$I$10="","","  ( "&amp;Vorgaben!$I$10&amp;" )")</f>
        <v xml:space="preserve">  ( N M )</v>
      </c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1"/>
      <c r="Z4" s="141"/>
      <c r="AA4" s="141"/>
      <c r="AB4" s="141"/>
      <c r="AC4" s="141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</row>
    <row r="5" spans="1:122" x14ac:dyDescent="0.2">
      <c r="A5" s="141"/>
      <c r="B5" s="141"/>
      <c r="C5" s="141"/>
      <c r="D5" s="141"/>
      <c r="E5" s="141"/>
      <c r="F5" s="277"/>
      <c r="G5" s="141"/>
      <c r="H5" s="141"/>
      <c r="I5" s="141"/>
      <c r="J5" s="141"/>
      <c r="K5" s="141"/>
      <c r="L5" s="141"/>
      <c r="M5" s="141"/>
      <c r="N5" s="141"/>
      <c r="O5" s="566" t="s">
        <v>90</v>
      </c>
      <c r="P5" s="227" t="s">
        <v>257</v>
      </c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7"/>
      <c r="AG5" s="134"/>
      <c r="AH5" s="134"/>
      <c r="AI5" s="134"/>
      <c r="AJ5" s="134"/>
      <c r="AK5" s="134"/>
      <c r="AL5" s="141"/>
      <c r="AM5" s="141"/>
      <c r="AN5" s="141"/>
      <c r="AO5" s="141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</row>
    <row r="6" spans="1:122" x14ac:dyDescent="0.2">
      <c r="A6" s="141"/>
      <c r="B6" s="141"/>
      <c r="C6" s="278"/>
      <c r="D6" s="141"/>
      <c r="E6" s="141"/>
      <c r="F6" s="277"/>
      <c r="G6" s="141"/>
      <c r="H6" s="277"/>
      <c r="I6" s="141"/>
      <c r="J6" s="277"/>
      <c r="K6" s="141"/>
      <c r="L6" s="277"/>
      <c r="M6" s="141"/>
      <c r="N6" s="277"/>
      <c r="O6" s="567"/>
      <c r="P6" s="227" t="s">
        <v>262</v>
      </c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7"/>
      <c r="AG6" s="134"/>
      <c r="AH6" s="134"/>
      <c r="AI6" s="134"/>
      <c r="AJ6" s="134"/>
      <c r="AK6" s="134"/>
      <c r="AL6" s="141"/>
      <c r="AM6" s="141"/>
      <c r="AN6" s="141"/>
      <c r="AO6" s="141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</row>
    <row r="7" spans="1:122" x14ac:dyDescent="0.2">
      <c r="A7" s="141"/>
      <c r="B7" s="141"/>
      <c r="C7" s="277"/>
      <c r="D7" s="277"/>
      <c r="E7" s="141"/>
      <c r="F7" s="277"/>
      <c r="G7" s="141"/>
      <c r="H7" s="277"/>
      <c r="I7" s="141"/>
      <c r="J7" s="277"/>
      <c r="K7" s="141"/>
      <c r="L7" s="277"/>
      <c r="M7" s="141"/>
      <c r="N7" s="277"/>
      <c r="O7" s="141"/>
      <c r="P7" s="277"/>
      <c r="Q7" s="141"/>
      <c r="R7" s="277"/>
      <c r="S7" s="141"/>
      <c r="T7" s="277"/>
      <c r="U7" s="141"/>
      <c r="V7" s="277"/>
      <c r="W7" s="141"/>
      <c r="X7" s="277"/>
      <c r="Y7" s="141"/>
      <c r="Z7" s="277"/>
      <c r="AA7" s="141"/>
      <c r="AB7" s="277"/>
      <c r="AC7" s="141"/>
      <c r="AD7" s="277"/>
      <c r="AE7" s="141"/>
      <c r="AF7" s="277"/>
      <c r="AG7" s="141"/>
      <c r="AH7" s="277"/>
      <c r="AI7" s="141"/>
      <c r="AJ7" s="141"/>
      <c r="AK7" s="141"/>
      <c r="AL7" s="141"/>
      <c r="AM7" s="141"/>
      <c r="AN7" s="141"/>
      <c r="AO7" s="141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</row>
    <row r="8" spans="1:122" x14ac:dyDescent="0.2">
      <c r="A8" s="141"/>
      <c r="B8" s="141"/>
      <c r="C8" s="279">
        <f ca="1">TODAY()</f>
        <v>43536</v>
      </c>
      <c r="D8" s="141" t="s">
        <v>209</v>
      </c>
      <c r="E8" s="141"/>
      <c r="F8" s="141"/>
      <c r="G8" s="141"/>
      <c r="H8" s="141"/>
      <c r="I8" s="141"/>
      <c r="J8" s="141"/>
      <c r="K8" s="141"/>
      <c r="L8" s="277"/>
      <c r="M8" s="141"/>
      <c r="N8" s="141"/>
      <c r="O8" s="141"/>
      <c r="P8" s="141"/>
      <c r="Q8" s="141"/>
      <c r="R8" s="141"/>
      <c r="S8" s="141"/>
      <c r="T8" s="141"/>
      <c r="U8" s="141"/>
      <c r="V8" s="277"/>
      <c r="W8" s="141"/>
      <c r="X8" s="141"/>
      <c r="Y8" s="141"/>
      <c r="Z8" s="141"/>
      <c r="AA8" s="141"/>
      <c r="AB8" s="141"/>
      <c r="AC8" s="141"/>
      <c r="AD8" s="141"/>
      <c r="AE8" s="141"/>
      <c r="AF8" s="277"/>
      <c r="AG8" s="141"/>
      <c r="AH8" s="141"/>
      <c r="AI8" s="141"/>
      <c r="AJ8" s="141"/>
      <c r="AK8" s="141"/>
      <c r="AL8" s="141"/>
      <c r="AM8" s="141"/>
      <c r="AN8" s="141"/>
      <c r="AO8" s="141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</row>
    <row r="9" spans="1:122" x14ac:dyDescent="0.2">
      <c r="A9" s="141"/>
      <c r="B9" s="141"/>
      <c r="C9" s="279">
        <f>Vorgaben!$C$4</f>
        <v>0</v>
      </c>
      <c r="D9" s="141" t="s">
        <v>211</v>
      </c>
      <c r="E9" s="141"/>
      <c r="F9" s="141"/>
      <c r="G9" s="141"/>
      <c r="H9" s="141"/>
      <c r="I9" s="141"/>
      <c r="J9" s="141"/>
      <c r="K9" s="141"/>
      <c r="L9" s="277"/>
      <c r="M9" s="141"/>
      <c r="N9" s="141"/>
      <c r="O9" s="141"/>
      <c r="P9" s="141"/>
      <c r="Q9" s="141"/>
      <c r="R9" s="141"/>
      <c r="S9" s="141"/>
      <c r="T9" s="141"/>
      <c r="U9" s="141"/>
      <c r="V9" s="277"/>
      <c r="W9" s="141"/>
      <c r="X9" s="141"/>
      <c r="Y9" s="141"/>
      <c r="Z9" s="141"/>
      <c r="AA9" s="141"/>
      <c r="AB9" s="141"/>
      <c r="AC9" s="141"/>
      <c r="AD9" s="141"/>
      <c r="AE9" s="141"/>
      <c r="AF9" s="277"/>
      <c r="AG9" s="141"/>
      <c r="AH9" s="141"/>
      <c r="AI9" s="141"/>
      <c r="AJ9" s="141"/>
      <c r="AK9" s="141"/>
      <c r="AL9" s="141"/>
      <c r="AM9" s="141"/>
      <c r="AN9" s="141"/>
      <c r="AO9" s="141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</row>
    <row r="10" spans="1:122" x14ac:dyDescent="0.2">
      <c r="A10" s="141"/>
      <c r="B10" s="141"/>
      <c r="C10" s="280" t="str">
        <f ca="1">IF(C$8&gt;=C$9,"ja","nein")</f>
        <v>ja</v>
      </c>
      <c r="D10" s="148" t="s">
        <v>210</v>
      </c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</row>
    <row r="11" spans="1:122" x14ac:dyDescent="0.2">
      <c r="A11" s="141"/>
      <c r="B11" s="141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8"/>
      <c r="N11" s="148"/>
      <c r="O11" s="148"/>
      <c r="P11" s="148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1"/>
      <c r="AG11" s="141"/>
      <c r="AH11" s="141"/>
      <c r="AI11" s="141"/>
      <c r="AJ11" s="141"/>
      <c r="AK11" s="141"/>
      <c r="AL11" s="141"/>
      <c r="AM11" s="141"/>
      <c r="AN11" s="141"/>
      <c r="AO11" s="141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</row>
    <row r="12" spans="1:122" ht="15.75" x14ac:dyDescent="0.25">
      <c r="A12" s="141"/>
      <c r="B12" s="141"/>
      <c r="C12" s="281" t="s">
        <v>254</v>
      </c>
      <c r="D12" s="282" t="s">
        <v>255</v>
      </c>
      <c r="E12" s="282"/>
      <c r="F12" s="283"/>
      <c r="G12" s="283"/>
      <c r="H12" s="283"/>
      <c r="I12" s="283"/>
      <c r="J12" s="283"/>
      <c r="K12" s="283"/>
      <c r="L12" s="283"/>
      <c r="M12" s="283"/>
      <c r="N12" s="283"/>
      <c r="O12" s="283"/>
      <c r="P12" s="283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</row>
    <row r="13" spans="1:122" x14ac:dyDescent="0.2">
      <c r="A13" s="141"/>
      <c r="B13" s="141"/>
      <c r="C13" s="284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1"/>
      <c r="AC13" s="141"/>
      <c r="AD13" s="141"/>
      <c r="AE13" s="141"/>
      <c r="AF13" s="141"/>
      <c r="AG13" s="141"/>
      <c r="AH13" s="141"/>
      <c r="AI13" s="141"/>
      <c r="AJ13" s="141"/>
      <c r="AK13" s="141"/>
      <c r="AL13" s="141"/>
      <c r="AM13" s="141"/>
      <c r="AN13" s="141"/>
      <c r="AO13" s="141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</row>
    <row r="14" spans="1:122" ht="12.75" customHeight="1" x14ac:dyDescent="0.2">
      <c r="A14" s="141"/>
      <c r="B14" s="141"/>
      <c r="C14" s="285" t="str">
        <f>Vorgaben!$C$7&amp;" "&amp;Vorgaben!$C$6</f>
        <v xml:space="preserve"> </v>
      </c>
      <c r="D14" s="235"/>
      <c r="E14" s="236"/>
      <c r="F14" s="235"/>
      <c r="G14" s="235"/>
      <c r="H14" s="237"/>
      <c r="I14" s="237"/>
      <c r="J14" s="237"/>
      <c r="K14" s="237"/>
      <c r="L14" s="237"/>
      <c r="M14" s="237"/>
      <c r="N14" s="237"/>
      <c r="O14" s="237"/>
      <c r="P14" s="237"/>
      <c r="Q14" s="237"/>
      <c r="R14" s="237"/>
      <c r="S14" s="237"/>
      <c r="T14" s="237"/>
      <c r="U14" s="237"/>
      <c r="V14" s="237"/>
      <c r="W14" s="237"/>
      <c r="X14" s="237"/>
      <c r="Y14" s="228"/>
      <c r="Z14" s="228"/>
      <c r="AA14" s="228"/>
      <c r="AB14" s="228"/>
      <c r="AC14" s="228"/>
      <c r="AD14" s="228"/>
      <c r="AE14" s="228"/>
      <c r="AF14" s="228"/>
      <c r="AG14" s="228"/>
      <c r="AH14" s="228"/>
      <c r="AI14" s="228"/>
      <c r="AJ14" s="228"/>
      <c r="AK14" s="228"/>
      <c r="AL14" s="228"/>
      <c r="AM14" s="141"/>
      <c r="AN14" s="141"/>
      <c r="AO14" s="141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</row>
    <row r="15" spans="1:122" ht="24" customHeight="1" thickBot="1" x14ac:dyDescent="0.25">
      <c r="A15" s="141"/>
      <c r="B15" s="141"/>
      <c r="C15" s="286" t="str">
        <f>Vorgaben!$G$5</f>
        <v>10a  (20/)</v>
      </c>
      <c r="D15" s="143"/>
      <c r="E15" s="287" t="str">
        <f ca="1">"Ergebnisübersicht : Zentrale Prüfungen Klasse 10 "&amp;IF($C$10="nein","(nach den schriftl. Arbeiten)","")</f>
        <v xml:space="preserve">Ergebnisübersicht : Zentrale Prüfungen Klasse 10 </v>
      </c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228"/>
      <c r="V15" s="228"/>
      <c r="W15" s="228"/>
      <c r="X15" s="228"/>
      <c r="Y15" s="228"/>
      <c r="Z15" s="228"/>
      <c r="AA15" s="228"/>
      <c r="AB15" s="228"/>
      <c r="AC15" s="228"/>
      <c r="AD15" s="228"/>
      <c r="AE15" s="228"/>
      <c r="AF15" s="228"/>
      <c r="AG15" s="228"/>
      <c r="AH15" s="228"/>
      <c r="AI15" s="228"/>
      <c r="AJ15" s="228"/>
      <c r="AK15" s="228"/>
      <c r="AL15" s="228"/>
      <c r="AM15" s="141"/>
      <c r="AN15" s="141"/>
      <c r="AO15" s="141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</row>
    <row r="16" spans="1:122" s="13" customFormat="1" ht="20.100000000000001" customHeight="1" thickTop="1" thickBot="1" x14ac:dyDescent="0.25">
      <c r="A16" s="163"/>
      <c r="B16" s="164"/>
      <c r="C16" s="288">
        <f ca="1">IF($C$10="ja",$C$8,Vorgaben!$C$3)</f>
        <v>43536</v>
      </c>
      <c r="D16" s="235"/>
      <c r="E16" s="568" t="str">
        <f>"D "&amp;$D$2</f>
        <v>D   ( N D )</v>
      </c>
      <c r="F16" s="569"/>
      <c r="G16" s="569"/>
      <c r="H16" s="569"/>
      <c r="I16" s="569"/>
      <c r="J16" s="569"/>
      <c r="K16" s="569"/>
      <c r="L16" s="569"/>
      <c r="M16" s="569"/>
      <c r="N16" s="570"/>
      <c r="O16" s="568" t="str">
        <f>$C$3&amp;" "&amp;$D$3</f>
        <v>E   ( N E )</v>
      </c>
      <c r="P16" s="569"/>
      <c r="Q16" s="569"/>
      <c r="R16" s="569"/>
      <c r="S16" s="569"/>
      <c r="T16" s="569"/>
      <c r="U16" s="569"/>
      <c r="V16" s="569"/>
      <c r="W16" s="569"/>
      <c r="X16" s="570"/>
      <c r="Y16" s="568" t="str">
        <f>"M "&amp;$D$4</f>
        <v>M   ( N M )</v>
      </c>
      <c r="Z16" s="569"/>
      <c r="AA16" s="569"/>
      <c r="AB16" s="569"/>
      <c r="AC16" s="569"/>
      <c r="AD16" s="569"/>
      <c r="AE16" s="569"/>
      <c r="AF16" s="569"/>
      <c r="AG16" s="569"/>
      <c r="AH16" s="570"/>
      <c r="AI16" s="289"/>
      <c r="AJ16" s="240"/>
      <c r="AK16" s="240"/>
      <c r="AL16" s="240"/>
      <c r="AM16" s="154"/>
      <c r="AN16" s="154"/>
      <c r="AO16" s="154"/>
    </row>
    <row r="17" spans="1:41" s="13" customFormat="1" ht="18" customHeight="1" thickTop="1" x14ac:dyDescent="0.2">
      <c r="A17" s="160"/>
      <c r="B17" s="161"/>
      <c r="C17" s="162"/>
      <c r="D17" s="162"/>
      <c r="E17" s="241" t="s">
        <v>261</v>
      </c>
      <c r="F17" s="290"/>
      <c r="G17" s="291" t="s">
        <v>259</v>
      </c>
      <c r="H17" s="243"/>
      <c r="I17" s="292" t="s">
        <v>11</v>
      </c>
      <c r="J17" s="293"/>
      <c r="K17" s="294"/>
      <c r="L17" s="295" t="s">
        <v>137</v>
      </c>
      <c r="M17" s="294"/>
      <c r="N17" s="295" t="s">
        <v>126</v>
      </c>
      <c r="O17" s="241"/>
      <c r="P17" s="296" t="s">
        <v>248</v>
      </c>
      <c r="Q17" s="291" t="s">
        <v>259</v>
      </c>
      <c r="R17" s="243"/>
      <c r="S17" s="292" t="s">
        <v>11</v>
      </c>
      <c r="T17" s="293"/>
      <c r="U17" s="294"/>
      <c r="V17" s="295" t="s">
        <v>137</v>
      </c>
      <c r="W17" s="294"/>
      <c r="X17" s="295" t="s">
        <v>126</v>
      </c>
      <c r="Y17" s="241" t="s">
        <v>261</v>
      </c>
      <c r="Z17" s="290"/>
      <c r="AA17" s="291" t="s">
        <v>259</v>
      </c>
      <c r="AB17" s="243"/>
      <c r="AC17" s="292" t="s">
        <v>11</v>
      </c>
      <c r="AD17" s="293"/>
      <c r="AE17" s="294"/>
      <c r="AF17" s="295" t="s">
        <v>137</v>
      </c>
      <c r="AG17" s="294"/>
      <c r="AH17" s="297" t="s">
        <v>126</v>
      </c>
      <c r="AI17" s="289"/>
      <c r="AJ17" s="240"/>
      <c r="AK17" s="240"/>
      <c r="AL17" s="240"/>
      <c r="AM17" s="154"/>
      <c r="AN17" s="154"/>
      <c r="AO17" s="154"/>
    </row>
    <row r="18" spans="1:41" s="13" customFormat="1" ht="18" customHeight="1" thickBot="1" x14ac:dyDescent="0.25">
      <c r="A18" s="163"/>
      <c r="B18" s="164"/>
      <c r="C18" s="165" t="s">
        <v>56</v>
      </c>
      <c r="D18" s="166" t="s">
        <v>57</v>
      </c>
      <c r="E18" s="250" t="s">
        <v>138</v>
      </c>
      <c r="F18" s="252"/>
      <c r="G18" s="257" t="s">
        <v>260</v>
      </c>
      <c r="H18" s="254"/>
      <c r="I18" s="298" t="s">
        <v>128</v>
      </c>
      <c r="J18" s="263"/>
      <c r="K18" s="299"/>
      <c r="L18" s="256" t="s">
        <v>51</v>
      </c>
      <c r="M18" s="257" t="s">
        <v>138</v>
      </c>
      <c r="N18" s="256"/>
      <c r="O18" s="250"/>
      <c r="P18" s="300" t="s">
        <v>247</v>
      </c>
      <c r="Q18" s="257" t="s">
        <v>260</v>
      </c>
      <c r="R18" s="254"/>
      <c r="S18" s="298" t="s">
        <v>128</v>
      </c>
      <c r="T18" s="263"/>
      <c r="U18" s="299"/>
      <c r="V18" s="256" t="s">
        <v>51</v>
      </c>
      <c r="W18" s="257" t="s">
        <v>138</v>
      </c>
      <c r="X18" s="256"/>
      <c r="Y18" s="250" t="s">
        <v>138</v>
      </c>
      <c r="Z18" s="252"/>
      <c r="AA18" s="257" t="s">
        <v>260</v>
      </c>
      <c r="AB18" s="254"/>
      <c r="AC18" s="298" t="s">
        <v>128</v>
      </c>
      <c r="AD18" s="263"/>
      <c r="AE18" s="299"/>
      <c r="AF18" s="256" t="s">
        <v>51</v>
      </c>
      <c r="AG18" s="257" t="s">
        <v>138</v>
      </c>
      <c r="AH18" s="301"/>
      <c r="AI18" s="289"/>
      <c r="AJ18" s="240"/>
      <c r="AK18" s="240"/>
      <c r="AL18" s="240"/>
      <c r="AM18" s="154"/>
      <c r="AN18" s="154"/>
      <c r="AO18" s="154"/>
    </row>
    <row r="19" spans="1:41" s="13" customFormat="1" ht="20.100000000000001" customHeight="1" thickTop="1" x14ac:dyDescent="0.2">
      <c r="A19" s="167">
        <f>IF($C19&lt;&gt;"",1,"")</f>
        <v>1</v>
      </c>
      <c r="B19" s="168"/>
      <c r="C19" s="169" t="str">
        <f>IF(Vorgaben!C19&lt;&gt;"",Vorgaben!C19,"")</f>
        <v>NN 1</v>
      </c>
      <c r="D19" s="169" t="str">
        <f>IF(Vorgaben!D19&lt;&gt;"",Vorgaben!D19,"")</f>
        <v>VN 1</v>
      </c>
      <c r="E19" s="302"/>
      <c r="F19" s="303" t="str">
        <f>IF(AND($C19&lt;&gt;"",Deutsch!F19&lt;&gt;0),Deutsch!F19,"")</f>
        <v/>
      </c>
      <c r="G19" s="304"/>
      <c r="H19" s="303" t="str">
        <f>IF(AND($C19&lt;&gt;"",Deutsch!H19&lt;&gt;0),Deutsch!H19,"")</f>
        <v/>
      </c>
      <c r="I19" s="305"/>
      <c r="J19" s="202">
        <f>IF($C19&lt;&gt;"",Deutsch!J19,"")</f>
        <v>0</v>
      </c>
      <c r="K19" s="305"/>
      <c r="L19" s="306" t="str">
        <f>IF($C19="","",(IF(Deutsch!L19="- -","- -",(IF(Deutsch!L19="x","x: "&amp;Deutsch!P19,(IF(AND(Deutsch!L19="frw. ?",Deutsch!N19=""),"frw. ?",(IF(AND(Deutsch!L19="frw. ?",Deutsch!N19="j"),"frw.: "&amp;Deutsch!P19,"frw.: n")))))))))</f>
        <v>- -</v>
      </c>
      <c r="M19" s="305"/>
      <c r="N19" s="303" t="str">
        <f>IF(AND($C19&lt;&gt;"",Deutsch!Z19&lt;&gt;0),Deutsch!Z19,"")</f>
        <v/>
      </c>
      <c r="O19" s="307" t="str">
        <f>IF(AND($C19&lt;&gt;"",Fremdsprache!E19&lt;&gt;""),Fremdsprache!E19,"")</f>
        <v/>
      </c>
      <c r="P19" s="303" t="str">
        <f>IF(AND($C19&lt;&gt;"",Fremdsprache!F19&lt;&gt;0),Fremdsprache!F19,"")</f>
        <v/>
      </c>
      <c r="Q19" s="304"/>
      <c r="R19" s="303" t="str">
        <f>IF(AND($C19&lt;&gt;"",Fremdsprache!H19&lt;&gt;0),Fremdsprache!H19,"")</f>
        <v/>
      </c>
      <c r="S19" s="305"/>
      <c r="T19" s="202">
        <f>IF($C19&lt;&gt;"",Fremdsprache!J19,"")</f>
        <v>0</v>
      </c>
      <c r="U19" s="305"/>
      <c r="V19" s="306" t="str">
        <f>IF($C19="","",(IF(Fremdsprache!L19="- -","- -",(IF(Fremdsprache!L19="x","x: "&amp;Fremdsprache!P19,(IF(AND(Fremdsprache!L19="frw. ?",Fremdsprache!N19=""),"frw. ?",(IF(AND(Fremdsprache!L19="frw. ?",Fremdsprache!N19="j"),"frw.: "&amp;Fremdsprache!P19,"frw.: n")))))))))</f>
        <v>- -</v>
      </c>
      <c r="W19" s="305"/>
      <c r="X19" s="303" t="str">
        <f>IF(AND($C19&lt;&gt;"",Fremdsprache!Z19&lt;&gt;0),Fremdsprache!Z19,"")</f>
        <v/>
      </c>
      <c r="Y19" s="302"/>
      <c r="Z19" s="303" t="str">
        <f>IF(AND($C19&lt;&gt;"",Mathematik!F19&lt;&gt;0),Mathematik!F19,"")</f>
        <v/>
      </c>
      <c r="AA19" s="304"/>
      <c r="AB19" s="303" t="str">
        <f>IF(AND($C19&lt;&gt;"",Mathematik!H19&lt;&gt;0),Mathematik!H19,"")</f>
        <v/>
      </c>
      <c r="AC19" s="305"/>
      <c r="AD19" s="202">
        <f>IF($C19&lt;&gt;"",Mathematik!J19,"")</f>
        <v>0</v>
      </c>
      <c r="AE19" s="305"/>
      <c r="AF19" s="306" t="str">
        <f>IF($C19="","",(IF(Mathematik!L19="- -","- -",(IF(Mathematik!L19="x","x: "&amp;Mathematik!P19,(IF(AND(Mathematik!L19="frw. ?",Mathematik!N19=""),"frw. ?",(IF(AND(Mathematik!L19="frw. ?",Mathematik!N19="j"),"frw.: "&amp;Mathematik!P19,"frw.: n")))))))))</f>
        <v>- -</v>
      </c>
      <c r="AG19" s="305"/>
      <c r="AH19" s="308" t="str">
        <f>IF(AND($C19&lt;&gt;"",Mathematik!Z19&lt;&gt;0),Mathematik!Z19,"")</f>
        <v/>
      </c>
      <c r="AI19" s="309" t="str">
        <f ca="1">IF($C19&lt;&gt;"",IF($C$10="nein",IF(OR($L19="frw. ?",$L19="x: ",$V19="frw. ?",$V19="x: ",$AF19="frw. ?",$AF19="x: "),"R",""),""),"")</f>
        <v/>
      </c>
      <c r="AJ19" s="310" t="str">
        <f t="shared" ref="AJ19:AJ54" si="0">IF($N19="","",VALUE($N19))</f>
        <v/>
      </c>
      <c r="AK19" s="310" t="str">
        <f t="shared" ref="AK19:AK54" si="1">IF($X19="","",VALUE($X19))</f>
        <v/>
      </c>
      <c r="AL19" s="310" t="str">
        <f t="shared" ref="AL19:AL54" si="2">IF($AH19="","",VALUE($AH19))</f>
        <v/>
      </c>
      <c r="AM19" s="154"/>
      <c r="AN19" s="154"/>
      <c r="AO19" s="154"/>
    </row>
    <row r="20" spans="1:41" s="13" customFormat="1" ht="20.100000000000001" customHeight="1" x14ac:dyDescent="0.2">
      <c r="A20" s="167">
        <f>IF($C20&lt;&gt;"",A19+1,"")</f>
        <v>2</v>
      </c>
      <c r="B20" s="168"/>
      <c r="C20" s="170" t="str">
        <f>IF(Vorgaben!C20&lt;&gt;"",Vorgaben!C20,"")</f>
        <v>NN 2</v>
      </c>
      <c r="D20" s="170" t="str">
        <f>IF(Vorgaben!D20&lt;&gt;"",Vorgaben!D20,"")</f>
        <v>VN 2</v>
      </c>
      <c r="E20" s="311"/>
      <c r="F20" s="312" t="str">
        <f>IF(AND($C20&lt;&gt;"",Deutsch!F20&lt;&gt;0),Deutsch!F20,"")</f>
        <v/>
      </c>
      <c r="G20" s="313"/>
      <c r="H20" s="312" t="str">
        <f>IF(AND($C20&lt;&gt;"",Deutsch!H20&lt;&gt;0),Deutsch!H20,"")</f>
        <v/>
      </c>
      <c r="I20" s="314"/>
      <c r="J20" s="186">
        <f>IF($C20&lt;&gt;"",Deutsch!J20,"")</f>
        <v>0</v>
      </c>
      <c r="K20" s="314"/>
      <c r="L20" s="315" t="str">
        <f>IF($C20="","",(IF(Deutsch!L20="- -","- -",(IF(Deutsch!L20="x","x: "&amp;Deutsch!P20,(IF(AND(Deutsch!L20="frw. ?",Deutsch!N20=""),"frw. ?",(IF(AND(Deutsch!L20="frw. ?",Deutsch!N20="j"),"frw.: "&amp;Deutsch!P20,"frw.: n")))))))))</f>
        <v>- -</v>
      </c>
      <c r="M20" s="314"/>
      <c r="N20" s="316" t="str">
        <f>IF(AND($C20&lt;&gt;"",Deutsch!Z20&lt;&gt;0),Deutsch!Z20,"")</f>
        <v/>
      </c>
      <c r="O20" s="317" t="str">
        <f>IF(AND($C20&lt;&gt;"",Fremdsprache!E20&lt;&gt;""),Fremdsprache!E20,"")</f>
        <v/>
      </c>
      <c r="P20" s="312" t="str">
        <f>IF(AND($C20&lt;&gt;"",Fremdsprache!F20&lt;&gt;0),Fremdsprache!F20,"")</f>
        <v/>
      </c>
      <c r="Q20" s="313"/>
      <c r="R20" s="312" t="str">
        <f>IF(AND($C20&lt;&gt;"",Fremdsprache!H20&lt;&gt;0),Fremdsprache!H20,"")</f>
        <v/>
      </c>
      <c r="S20" s="314"/>
      <c r="T20" s="186">
        <f>IF($C20&lt;&gt;"",Fremdsprache!J20,"")</f>
        <v>0</v>
      </c>
      <c r="U20" s="314"/>
      <c r="V20" s="315" t="str">
        <f>IF($C20="","",(IF(Fremdsprache!L20="- -","- -",(IF(Fremdsprache!L20="x","x: "&amp;Fremdsprache!P20,(IF(AND(Fremdsprache!L20="frw. ?",Fremdsprache!N20=""),"frw. ?",(IF(AND(Fremdsprache!L20="frw. ?",Fremdsprache!N20="j"),"frw.: "&amp;Fremdsprache!P20,"frw.: n")))))))))</f>
        <v>- -</v>
      </c>
      <c r="W20" s="314"/>
      <c r="X20" s="318" t="str">
        <f>IF(AND($C20&lt;&gt;"",Fremdsprache!Z20&lt;&gt;0),Fremdsprache!Z20,"")</f>
        <v/>
      </c>
      <c r="Y20" s="311"/>
      <c r="Z20" s="312" t="str">
        <f>IF(AND($C20&lt;&gt;"",Mathematik!F20&lt;&gt;0),Mathematik!F20,"")</f>
        <v/>
      </c>
      <c r="AA20" s="313"/>
      <c r="AB20" s="312" t="str">
        <f>IF(AND($C20&lt;&gt;"",Mathematik!H20&lt;&gt;0),Mathematik!H20,"")</f>
        <v/>
      </c>
      <c r="AC20" s="314"/>
      <c r="AD20" s="186">
        <f>IF($C20&lt;&gt;"",Mathematik!J20,"")</f>
        <v>0</v>
      </c>
      <c r="AE20" s="314"/>
      <c r="AF20" s="315" t="str">
        <f>IF($C20="","",(IF(Mathematik!L20="- -","- -",(IF(Mathematik!L20="x","x: "&amp;Mathematik!P20,(IF(AND(Mathematik!L20="frw. ?",Mathematik!N20=""),"frw. ?",(IF(AND(Mathematik!L20="frw. ?",Mathematik!N20="j"),"frw.: "&amp;Mathematik!P20,"frw.: n")))))))))</f>
        <v>- -</v>
      </c>
      <c r="AG20" s="314"/>
      <c r="AH20" s="319" t="str">
        <f>IF(AND($C20&lt;&gt;"",Mathematik!Z20&lt;&gt;0),Mathematik!Z20,"")</f>
        <v/>
      </c>
      <c r="AI20" s="309" t="str">
        <f t="shared" ref="AI20:AI54" ca="1" si="3">IF($C20&lt;&gt;"",IF($C$10="nein",IF(OR($L20="frw. ?",$L20="x: ",$V20="frw. ?",$V20="x: ",$AF20="frw. ?",$AF20="x: "),"R",""),""),"")</f>
        <v/>
      </c>
      <c r="AJ20" s="310" t="str">
        <f t="shared" si="0"/>
        <v/>
      </c>
      <c r="AK20" s="310" t="str">
        <f t="shared" si="1"/>
        <v/>
      </c>
      <c r="AL20" s="310" t="str">
        <f t="shared" si="2"/>
        <v/>
      </c>
      <c r="AM20" s="154"/>
      <c r="AN20" s="154"/>
      <c r="AO20" s="154"/>
    </row>
    <row r="21" spans="1:41" s="13" customFormat="1" ht="20.100000000000001" customHeight="1" x14ac:dyDescent="0.2">
      <c r="A21" s="167">
        <f t="shared" ref="A21:A54" si="4">IF($C21&lt;&gt;"",A20+1,"")</f>
        <v>3</v>
      </c>
      <c r="B21" s="168"/>
      <c r="C21" s="170" t="str">
        <f>IF(Vorgaben!C21&lt;&gt;"",Vorgaben!C21,"")</f>
        <v>NN 3</v>
      </c>
      <c r="D21" s="170" t="str">
        <f>IF(Vorgaben!D21&lt;&gt;"",Vorgaben!D21,"")</f>
        <v>VN 3</v>
      </c>
      <c r="E21" s="311"/>
      <c r="F21" s="312" t="str">
        <f>IF(AND($C21&lt;&gt;"",Deutsch!F21&lt;&gt;0),Deutsch!F21,"")</f>
        <v/>
      </c>
      <c r="G21" s="313"/>
      <c r="H21" s="312" t="str">
        <f>IF(AND($C21&lt;&gt;"",Deutsch!H21&lt;&gt;0),Deutsch!H21,"")</f>
        <v/>
      </c>
      <c r="I21" s="314"/>
      <c r="J21" s="186">
        <f>IF($C21&lt;&gt;"",Deutsch!J21,"")</f>
        <v>0</v>
      </c>
      <c r="K21" s="314"/>
      <c r="L21" s="315" t="str">
        <f>IF($C21="","",(IF(Deutsch!L21="- -","- -",(IF(Deutsch!L21="x","x: "&amp;Deutsch!P21,(IF(AND(Deutsch!L21="frw. ?",Deutsch!N21=""),"frw. ?",(IF(AND(Deutsch!L21="frw. ?",Deutsch!N21="j"),"frw.: "&amp;Deutsch!P21,"frw.: n")))))))))</f>
        <v>- -</v>
      </c>
      <c r="M21" s="314"/>
      <c r="N21" s="316" t="str">
        <f>IF(AND($C21&lt;&gt;"",Deutsch!Z21&lt;&gt;0),Deutsch!Z21,"")</f>
        <v/>
      </c>
      <c r="O21" s="317" t="str">
        <f>IF(AND($C21&lt;&gt;"",Fremdsprache!E21&lt;&gt;""),Fremdsprache!E21,"")</f>
        <v/>
      </c>
      <c r="P21" s="312" t="str">
        <f>IF(AND($C21&lt;&gt;"",Fremdsprache!F21&lt;&gt;0),Fremdsprache!F21,"")</f>
        <v/>
      </c>
      <c r="Q21" s="313"/>
      <c r="R21" s="312" t="str">
        <f>IF(AND($C21&lt;&gt;"",Fremdsprache!H21&lt;&gt;0),Fremdsprache!H21,"")</f>
        <v/>
      </c>
      <c r="S21" s="314"/>
      <c r="T21" s="186">
        <f>IF($C21&lt;&gt;"",Fremdsprache!J21,"")</f>
        <v>0</v>
      </c>
      <c r="U21" s="314"/>
      <c r="V21" s="315" t="str">
        <f>IF($C21="","",(IF(Fremdsprache!L21="- -","- -",(IF(Fremdsprache!L21="x","x: "&amp;Fremdsprache!P21,(IF(AND(Fremdsprache!L21="frw. ?",Fremdsprache!N21=""),"frw. ?",(IF(AND(Fremdsprache!L21="frw. ?",Fremdsprache!N21="j"),"frw.: "&amp;Fremdsprache!P21,"frw.: n")))))))))</f>
        <v>- -</v>
      </c>
      <c r="W21" s="314"/>
      <c r="X21" s="318" t="str">
        <f>IF(AND($C21&lt;&gt;"",Fremdsprache!Z21&lt;&gt;0),Fremdsprache!Z21,"")</f>
        <v/>
      </c>
      <c r="Y21" s="311"/>
      <c r="Z21" s="312" t="str">
        <f>IF(AND($C21&lt;&gt;"",Mathematik!F21&lt;&gt;0),Mathematik!F21,"")</f>
        <v/>
      </c>
      <c r="AA21" s="313"/>
      <c r="AB21" s="312" t="str">
        <f>IF(AND($C21&lt;&gt;"",Mathematik!H21&lt;&gt;0),Mathematik!H21,"")</f>
        <v/>
      </c>
      <c r="AC21" s="314"/>
      <c r="AD21" s="186">
        <f>IF($C21&lt;&gt;"",Mathematik!J21,"")</f>
        <v>0</v>
      </c>
      <c r="AE21" s="314"/>
      <c r="AF21" s="315" t="str">
        <f>IF($C21="","",(IF(Mathematik!L21="- -","- -",(IF(Mathematik!L21="x","x: "&amp;Mathematik!P21,(IF(AND(Mathematik!L21="frw. ?",Mathematik!N21=""),"frw. ?",(IF(AND(Mathematik!L21="frw. ?",Mathematik!N21="j"),"frw.: "&amp;Mathematik!P21,"frw.: n")))))))))</f>
        <v>- -</v>
      </c>
      <c r="AG21" s="314"/>
      <c r="AH21" s="320" t="str">
        <f>IF(AND($C21&lt;&gt;"",Mathematik!Z21&lt;&gt;0),Mathematik!Z21,"")</f>
        <v/>
      </c>
      <c r="AI21" s="309" t="str">
        <f t="shared" ca="1" si="3"/>
        <v/>
      </c>
      <c r="AJ21" s="310" t="str">
        <f t="shared" si="0"/>
        <v/>
      </c>
      <c r="AK21" s="310" t="str">
        <f t="shared" si="1"/>
        <v/>
      </c>
      <c r="AL21" s="310" t="str">
        <f t="shared" si="2"/>
        <v/>
      </c>
      <c r="AM21" s="154"/>
      <c r="AN21" s="154"/>
      <c r="AO21" s="154"/>
    </row>
    <row r="22" spans="1:41" s="13" customFormat="1" ht="20.100000000000001" customHeight="1" x14ac:dyDescent="0.2">
      <c r="A22" s="167">
        <f t="shared" si="4"/>
        <v>4</v>
      </c>
      <c r="B22" s="168"/>
      <c r="C22" s="170" t="str">
        <f>IF(Vorgaben!C22&lt;&gt;"",Vorgaben!C22,"")</f>
        <v>NN 4</v>
      </c>
      <c r="D22" s="170" t="str">
        <f>IF(Vorgaben!D22&lt;&gt;"",Vorgaben!D22,"")</f>
        <v>VN 4</v>
      </c>
      <c r="E22" s="311"/>
      <c r="F22" s="312" t="str">
        <f>IF(AND($C22&lt;&gt;"",Deutsch!F22&lt;&gt;0),Deutsch!F22,"")</f>
        <v/>
      </c>
      <c r="G22" s="313"/>
      <c r="H22" s="312" t="str">
        <f>IF(AND($C22&lt;&gt;"",Deutsch!H22&lt;&gt;0),Deutsch!H22,"")</f>
        <v/>
      </c>
      <c r="I22" s="314"/>
      <c r="J22" s="186">
        <f>IF($C22&lt;&gt;"",Deutsch!J22,"")</f>
        <v>0</v>
      </c>
      <c r="K22" s="314"/>
      <c r="L22" s="315" t="str">
        <f>IF($C22="","",(IF(Deutsch!L22="- -","- -",(IF(Deutsch!L22="x","x: "&amp;Deutsch!P22,(IF(AND(Deutsch!L22="frw. ?",Deutsch!N22=""),"frw. ?",(IF(AND(Deutsch!L22="frw. ?",Deutsch!N22="j"),"frw.: "&amp;Deutsch!P22,"frw.: n")))))))))</f>
        <v>- -</v>
      </c>
      <c r="M22" s="314"/>
      <c r="N22" s="316" t="str">
        <f>IF(AND($C22&lt;&gt;"",Deutsch!Z22&lt;&gt;0),Deutsch!Z22,"")</f>
        <v/>
      </c>
      <c r="O22" s="317" t="str">
        <f>IF(AND($C22&lt;&gt;"",Fremdsprache!E22&lt;&gt;""),Fremdsprache!E22,"")</f>
        <v/>
      </c>
      <c r="P22" s="312" t="str">
        <f>IF(AND($C22&lt;&gt;"",Fremdsprache!F22&lt;&gt;0),Fremdsprache!F22,"")</f>
        <v/>
      </c>
      <c r="Q22" s="313"/>
      <c r="R22" s="312" t="str">
        <f>IF(AND($C22&lt;&gt;"",Fremdsprache!H22&lt;&gt;0),Fremdsprache!H22,"")</f>
        <v/>
      </c>
      <c r="S22" s="314"/>
      <c r="T22" s="186">
        <f>IF($C22&lt;&gt;"",Fremdsprache!J22,"")</f>
        <v>0</v>
      </c>
      <c r="U22" s="314"/>
      <c r="V22" s="315" t="str">
        <f>IF($C22="","",(IF(Fremdsprache!L22="- -","- -",(IF(Fremdsprache!L22="x","x: "&amp;Fremdsprache!P22,(IF(AND(Fremdsprache!L22="frw. ?",Fremdsprache!N22=""),"frw. ?",(IF(AND(Fremdsprache!L22="frw. ?",Fremdsprache!N22="j"),"frw.: "&amp;Fremdsprache!P22,"frw.: n")))))))))</f>
        <v>- -</v>
      </c>
      <c r="W22" s="314"/>
      <c r="X22" s="318" t="str">
        <f>IF(AND($C22&lt;&gt;"",Fremdsprache!Z22&lt;&gt;0),Fremdsprache!Z22,"")</f>
        <v/>
      </c>
      <c r="Y22" s="311"/>
      <c r="Z22" s="312" t="str">
        <f>IF(AND($C22&lt;&gt;"",Mathematik!F22&lt;&gt;0),Mathematik!F22,"")</f>
        <v/>
      </c>
      <c r="AA22" s="313"/>
      <c r="AB22" s="312" t="str">
        <f>IF(AND($C22&lt;&gt;"",Mathematik!H22&lt;&gt;0),Mathematik!H22,"")</f>
        <v/>
      </c>
      <c r="AC22" s="314"/>
      <c r="AD22" s="186">
        <f>IF($C22&lt;&gt;"",Mathematik!J22,"")</f>
        <v>0</v>
      </c>
      <c r="AE22" s="314"/>
      <c r="AF22" s="315" t="str">
        <f>IF($C22="","",(IF(Mathematik!L22="- -","- -",(IF(Mathematik!L22="x","x: "&amp;Mathematik!P22,(IF(AND(Mathematik!L22="frw. ?",Mathematik!N22=""),"frw. ?",(IF(AND(Mathematik!L22="frw. ?",Mathematik!N22="j"),"frw.: "&amp;Mathematik!P22,"frw.: n")))))))))</f>
        <v>- -</v>
      </c>
      <c r="AG22" s="314"/>
      <c r="AH22" s="320" t="str">
        <f>IF(AND($C22&lt;&gt;"",Mathematik!Z22&lt;&gt;0),Mathematik!Z22,"")</f>
        <v/>
      </c>
      <c r="AI22" s="309" t="str">
        <f t="shared" ca="1" si="3"/>
        <v/>
      </c>
      <c r="AJ22" s="310" t="str">
        <f t="shared" si="0"/>
        <v/>
      </c>
      <c r="AK22" s="310" t="str">
        <f t="shared" si="1"/>
        <v/>
      </c>
      <c r="AL22" s="310" t="str">
        <f t="shared" si="2"/>
        <v/>
      </c>
      <c r="AM22" s="154"/>
      <c r="AN22" s="154"/>
      <c r="AO22" s="154"/>
    </row>
    <row r="23" spans="1:41" s="13" customFormat="1" ht="20.100000000000001" customHeight="1" x14ac:dyDescent="0.2">
      <c r="A23" s="167">
        <f t="shared" si="4"/>
        <v>5</v>
      </c>
      <c r="B23" s="168"/>
      <c r="C23" s="170" t="str">
        <f>IF(Vorgaben!C23&lt;&gt;"",Vorgaben!C23,"")</f>
        <v>NN 5</v>
      </c>
      <c r="D23" s="170" t="str">
        <f>IF(Vorgaben!D23&lt;&gt;"",Vorgaben!D23,"")</f>
        <v>VN 5</v>
      </c>
      <c r="E23" s="311"/>
      <c r="F23" s="312" t="str">
        <f>IF(AND($C23&lt;&gt;"",Deutsch!F23&lt;&gt;0),Deutsch!F23,"")</f>
        <v/>
      </c>
      <c r="G23" s="313"/>
      <c r="H23" s="312" t="str">
        <f>IF(AND($C23&lt;&gt;"",Deutsch!H23&lt;&gt;0),Deutsch!H23,"")</f>
        <v/>
      </c>
      <c r="I23" s="314"/>
      <c r="J23" s="186">
        <f>IF($C23&lt;&gt;"",Deutsch!J23,"")</f>
        <v>0</v>
      </c>
      <c r="K23" s="314"/>
      <c r="L23" s="315" t="str">
        <f>IF($C23="","",(IF(Deutsch!L23="- -","- -",(IF(Deutsch!L23="x","x: "&amp;Deutsch!P23,(IF(AND(Deutsch!L23="frw. ?",Deutsch!N23=""),"frw. ?",(IF(AND(Deutsch!L23="frw. ?",Deutsch!N23="j"),"frw.: "&amp;Deutsch!P23,"frw.: n")))))))))</f>
        <v>- -</v>
      </c>
      <c r="M23" s="314"/>
      <c r="N23" s="316" t="str">
        <f>IF(AND($C23&lt;&gt;"",Deutsch!Z23&lt;&gt;0),Deutsch!Z23,"")</f>
        <v/>
      </c>
      <c r="O23" s="317" t="str">
        <f>IF(AND($C23&lt;&gt;"",Fremdsprache!E23&lt;&gt;""),Fremdsprache!E23,"")</f>
        <v/>
      </c>
      <c r="P23" s="312" t="str">
        <f>IF(AND($C23&lt;&gt;"",Fremdsprache!F23&lt;&gt;0),Fremdsprache!F23,"")</f>
        <v/>
      </c>
      <c r="Q23" s="313"/>
      <c r="R23" s="312" t="str">
        <f>IF(AND($C23&lt;&gt;"",Fremdsprache!H23&lt;&gt;0),Fremdsprache!H23,"")</f>
        <v/>
      </c>
      <c r="S23" s="314"/>
      <c r="T23" s="186">
        <f>IF($C23&lt;&gt;"",Fremdsprache!J23,"")</f>
        <v>0</v>
      </c>
      <c r="U23" s="314"/>
      <c r="V23" s="315" t="str">
        <f>IF($C23="","",(IF(Fremdsprache!L23="- -","- -",(IF(Fremdsprache!L23="x","x: "&amp;Fremdsprache!P23,(IF(AND(Fremdsprache!L23="frw. ?",Fremdsprache!N23=""),"frw. ?",(IF(AND(Fremdsprache!L23="frw. ?",Fremdsprache!N23="j"),"frw.: "&amp;Fremdsprache!P23,"frw.: n")))))))))</f>
        <v>- -</v>
      </c>
      <c r="W23" s="314"/>
      <c r="X23" s="318" t="str">
        <f>IF(AND($C23&lt;&gt;"",Fremdsprache!Z23&lt;&gt;0),Fremdsprache!Z23,"")</f>
        <v/>
      </c>
      <c r="Y23" s="311"/>
      <c r="Z23" s="312" t="str">
        <f>IF(AND($C23&lt;&gt;"",Mathematik!F23&lt;&gt;0),Mathematik!F23,"")</f>
        <v/>
      </c>
      <c r="AA23" s="313"/>
      <c r="AB23" s="312" t="str">
        <f>IF(AND($C23&lt;&gt;"",Mathematik!H23&lt;&gt;0),Mathematik!H23,"")</f>
        <v/>
      </c>
      <c r="AC23" s="314"/>
      <c r="AD23" s="186">
        <f>IF($C23&lt;&gt;"",Mathematik!J23,"")</f>
        <v>0</v>
      </c>
      <c r="AE23" s="314"/>
      <c r="AF23" s="315" t="str">
        <f>IF($C23="","",(IF(Mathematik!L23="- -","- -",(IF(Mathematik!L23="x","x: "&amp;Mathematik!P23,(IF(AND(Mathematik!L23="frw. ?",Mathematik!N23=""),"frw. ?",(IF(AND(Mathematik!L23="frw. ?",Mathematik!N23="j"),"frw.: "&amp;Mathematik!P23,"frw.: n")))))))))</f>
        <v>- -</v>
      </c>
      <c r="AG23" s="314"/>
      <c r="AH23" s="320" t="str">
        <f>IF(AND($C23&lt;&gt;"",Mathematik!Z23&lt;&gt;0),Mathematik!Z23,"")</f>
        <v/>
      </c>
      <c r="AI23" s="309" t="str">
        <f t="shared" ca="1" si="3"/>
        <v/>
      </c>
      <c r="AJ23" s="310" t="str">
        <f t="shared" si="0"/>
        <v/>
      </c>
      <c r="AK23" s="310" t="str">
        <f t="shared" si="1"/>
        <v/>
      </c>
      <c r="AL23" s="310" t="str">
        <f t="shared" si="2"/>
        <v/>
      </c>
      <c r="AM23" s="154"/>
      <c r="AN23" s="154"/>
      <c r="AO23" s="154"/>
    </row>
    <row r="24" spans="1:41" s="13" customFormat="1" ht="20.100000000000001" customHeight="1" x14ac:dyDescent="0.2">
      <c r="A24" s="167">
        <f t="shared" si="4"/>
        <v>6</v>
      </c>
      <c r="B24" s="168"/>
      <c r="C24" s="170" t="str">
        <f>IF(Vorgaben!C24&lt;&gt;"",Vorgaben!C24,"")</f>
        <v>NN 6</v>
      </c>
      <c r="D24" s="170" t="str">
        <f>IF(Vorgaben!D24&lt;&gt;"",Vorgaben!D24,"")</f>
        <v>VN 6</v>
      </c>
      <c r="E24" s="311"/>
      <c r="F24" s="312" t="str">
        <f>IF(AND($C24&lt;&gt;"",Deutsch!F24&lt;&gt;0),Deutsch!F24,"")</f>
        <v/>
      </c>
      <c r="G24" s="313"/>
      <c r="H24" s="312" t="str">
        <f>IF(AND($C24&lt;&gt;"",Deutsch!H24&lt;&gt;0),Deutsch!H24,"")</f>
        <v/>
      </c>
      <c r="I24" s="314"/>
      <c r="J24" s="186">
        <f>IF($C24&lt;&gt;"",Deutsch!J24,"")</f>
        <v>0</v>
      </c>
      <c r="K24" s="314"/>
      <c r="L24" s="315" t="str">
        <f>IF($C24="","",(IF(Deutsch!L24="- -","- -",(IF(Deutsch!L24="x","x: "&amp;Deutsch!P24,(IF(AND(Deutsch!L24="frw. ?",Deutsch!N24=""),"frw. ?",(IF(AND(Deutsch!L24="frw. ?",Deutsch!N24="j"),"frw.: "&amp;Deutsch!P24,"frw.: n")))))))))</f>
        <v>- -</v>
      </c>
      <c r="M24" s="314"/>
      <c r="N24" s="316" t="str">
        <f>IF(AND($C24&lt;&gt;"",Deutsch!Z24&lt;&gt;0),Deutsch!Z24,"")</f>
        <v/>
      </c>
      <c r="O24" s="317" t="str">
        <f>IF(AND($C24&lt;&gt;"",Fremdsprache!E24&lt;&gt;""),Fremdsprache!E24,"")</f>
        <v/>
      </c>
      <c r="P24" s="312" t="str">
        <f>IF(AND($C24&lt;&gt;"",Fremdsprache!F24&lt;&gt;0),Fremdsprache!F24,"")</f>
        <v/>
      </c>
      <c r="Q24" s="313"/>
      <c r="R24" s="312" t="str">
        <f>IF(AND($C24&lt;&gt;"",Fremdsprache!H24&lt;&gt;0),Fremdsprache!H24,"")</f>
        <v/>
      </c>
      <c r="S24" s="314"/>
      <c r="T24" s="186">
        <f>IF($C24&lt;&gt;"",Fremdsprache!J24,"")</f>
        <v>0</v>
      </c>
      <c r="U24" s="314"/>
      <c r="V24" s="315" t="str">
        <f>IF($C24="","",(IF(Fremdsprache!L24="- -","- -",(IF(Fremdsprache!L24="x","x: "&amp;Fremdsprache!P24,(IF(AND(Fremdsprache!L24="frw. ?",Fremdsprache!N24=""),"frw. ?",(IF(AND(Fremdsprache!L24="frw. ?",Fremdsprache!N24="j"),"frw.: "&amp;Fremdsprache!P24,"frw.: n")))))))))</f>
        <v>- -</v>
      </c>
      <c r="W24" s="314"/>
      <c r="X24" s="318" t="str">
        <f>IF(AND($C24&lt;&gt;"",Fremdsprache!Z24&lt;&gt;0),Fremdsprache!Z24,"")</f>
        <v/>
      </c>
      <c r="Y24" s="311"/>
      <c r="Z24" s="312" t="str">
        <f>IF(AND($C24&lt;&gt;"",Mathematik!F24&lt;&gt;0),Mathematik!F24,"")</f>
        <v/>
      </c>
      <c r="AA24" s="313"/>
      <c r="AB24" s="312" t="str">
        <f>IF(AND($C24&lt;&gt;"",Mathematik!H24&lt;&gt;0),Mathematik!H24,"")</f>
        <v/>
      </c>
      <c r="AC24" s="314"/>
      <c r="AD24" s="186">
        <f>IF($C24&lt;&gt;"",Mathematik!J24,"")</f>
        <v>0</v>
      </c>
      <c r="AE24" s="314"/>
      <c r="AF24" s="315" t="str">
        <f>IF($C24="","",(IF(Mathematik!L24="- -","- -",(IF(Mathematik!L24="x","x: "&amp;Mathematik!P24,(IF(AND(Mathematik!L24="frw. ?",Mathematik!N24=""),"frw. ?",(IF(AND(Mathematik!L24="frw. ?",Mathematik!N24="j"),"frw.: "&amp;Mathematik!P24,"frw.: n")))))))))</f>
        <v>- -</v>
      </c>
      <c r="AG24" s="314"/>
      <c r="AH24" s="320" t="str">
        <f>IF(AND($C24&lt;&gt;"",Mathematik!Z24&lt;&gt;0),Mathematik!Z24,"")</f>
        <v/>
      </c>
      <c r="AI24" s="309" t="str">
        <f t="shared" ca="1" si="3"/>
        <v/>
      </c>
      <c r="AJ24" s="310" t="str">
        <f t="shared" si="0"/>
        <v/>
      </c>
      <c r="AK24" s="310" t="str">
        <f t="shared" si="1"/>
        <v/>
      </c>
      <c r="AL24" s="310" t="str">
        <f t="shared" si="2"/>
        <v/>
      </c>
      <c r="AM24" s="154"/>
      <c r="AN24" s="154"/>
      <c r="AO24" s="154"/>
    </row>
    <row r="25" spans="1:41" s="13" customFormat="1" ht="20.100000000000001" customHeight="1" x14ac:dyDescent="0.2">
      <c r="A25" s="167">
        <f t="shared" si="4"/>
        <v>7</v>
      </c>
      <c r="B25" s="168"/>
      <c r="C25" s="170" t="str">
        <f>IF(Vorgaben!C25&lt;&gt;"",Vorgaben!C25,"")</f>
        <v>NN 7</v>
      </c>
      <c r="D25" s="170" t="str">
        <f>IF(Vorgaben!D25&lt;&gt;"",Vorgaben!D25,"")</f>
        <v>VN 7</v>
      </c>
      <c r="E25" s="311"/>
      <c r="F25" s="312" t="str">
        <f>IF(AND($C25&lt;&gt;"",Deutsch!F25&lt;&gt;0),Deutsch!F25,"")</f>
        <v/>
      </c>
      <c r="G25" s="313"/>
      <c r="H25" s="312" t="str">
        <f>IF(AND($C25&lt;&gt;"",Deutsch!H25&lt;&gt;0),Deutsch!H25,"")</f>
        <v/>
      </c>
      <c r="I25" s="314"/>
      <c r="J25" s="186">
        <f>IF($C25&lt;&gt;"",Deutsch!J25,"")</f>
        <v>0</v>
      </c>
      <c r="K25" s="314"/>
      <c r="L25" s="315" t="str">
        <f>IF($C25="","",(IF(Deutsch!L25="- -","- -",(IF(Deutsch!L25="x","x: "&amp;Deutsch!P25,(IF(AND(Deutsch!L25="frw. ?",Deutsch!N25=""),"frw. ?",(IF(AND(Deutsch!L25="frw. ?",Deutsch!N25="j"),"frw.: "&amp;Deutsch!P25,"frw.: n")))))))))</f>
        <v>- -</v>
      </c>
      <c r="M25" s="314"/>
      <c r="N25" s="316" t="str">
        <f>IF(AND($C25&lt;&gt;"",Deutsch!Z25&lt;&gt;0),Deutsch!Z25,"")</f>
        <v/>
      </c>
      <c r="O25" s="317" t="str">
        <f>IF(AND($C25&lt;&gt;"",Fremdsprache!E25&lt;&gt;""),Fremdsprache!E25,"")</f>
        <v/>
      </c>
      <c r="P25" s="312" t="str">
        <f>IF(AND($C25&lt;&gt;"",Fremdsprache!F25&lt;&gt;0),Fremdsprache!F25,"")</f>
        <v/>
      </c>
      <c r="Q25" s="313"/>
      <c r="R25" s="312" t="str">
        <f>IF(AND($C25&lt;&gt;"",Fremdsprache!H25&lt;&gt;0),Fremdsprache!H25,"")</f>
        <v/>
      </c>
      <c r="S25" s="314"/>
      <c r="T25" s="186">
        <f>IF($C25&lt;&gt;"",Fremdsprache!J25,"")</f>
        <v>0</v>
      </c>
      <c r="U25" s="314"/>
      <c r="V25" s="315" t="str">
        <f>IF($C25="","",(IF(Fremdsprache!L25="- -","- -",(IF(Fremdsprache!L25="x","x: "&amp;Fremdsprache!P25,(IF(AND(Fremdsprache!L25="frw. ?",Fremdsprache!N25=""),"frw. ?",(IF(AND(Fremdsprache!L25="frw. ?",Fremdsprache!N25="j"),"frw.: "&amp;Fremdsprache!P25,"frw.: n")))))))))</f>
        <v>- -</v>
      </c>
      <c r="W25" s="314"/>
      <c r="X25" s="318" t="str">
        <f>IF(AND($C25&lt;&gt;"",Fremdsprache!Z25&lt;&gt;0),Fremdsprache!Z25,"")</f>
        <v/>
      </c>
      <c r="Y25" s="311"/>
      <c r="Z25" s="312" t="str">
        <f>IF(AND($C25&lt;&gt;"",Mathematik!F25&lt;&gt;0),Mathematik!F25,"")</f>
        <v/>
      </c>
      <c r="AA25" s="313"/>
      <c r="AB25" s="312" t="str">
        <f>IF(AND($C25&lt;&gt;"",Mathematik!H25&lt;&gt;0),Mathematik!H25,"")</f>
        <v/>
      </c>
      <c r="AC25" s="314"/>
      <c r="AD25" s="186">
        <f>IF($C25&lt;&gt;"",Mathematik!J25,"")</f>
        <v>0</v>
      </c>
      <c r="AE25" s="314"/>
      <c r="AF25" s="315" t="str">
        <f>IF($C25="","",(IF(Mathematik!L25="- -","- -",(IF(Mathematik!L25="x","x: "&amp;Mathematik!P25,(IF(AND(Mathematik!L25="frw. ?",Mathematik!N25=""),"frw. ?",(IF(AND(Mathematik!L25="frw. ?",Mathematik!N25="j"),"frw.: "&amp;Mathematik!P25,"frw.: n")))))))))</f>
        <v>- -</v>
      </c>
      <c r="AG25" s="314"/>
      <c r="AH25" s="320" t="str">
        <f>IF(AND($C25&lt;&gt;"",Mathematik!Z25&lt;&gt;0),Mathematik!Z25,"")</f>
        <v/>
      </c>
      <c r="AI25" s="309" t="str">
        <f t="shared" ca="1" si="3"/>
        <v/>
      </c>
      <c r="AJ25" s="310" t="str">
        <f t="shared" si="0"/>
        <v/>
      </c>
      <c r="AK25" s="310" t="str">
        <f t="shared" si="1"/>
        <v/>
      </c>
      <c r="AL25" s="310" t="str">
        <f t="shared" si="2"/>
        <v/>
      </c>
      <c r="AM25" s="154"/>
      <c r="AN25" s="154"/>
      <c r="AO25" s="154"/>
    </row>
    <row r="26" spans="1:41" s="13" customFormat="1" ht="20.100000000000001" customHeight="1" x14ac:dyDescent="0.2">
      <c r="A26" s="167">
        <f t="shared" si="4"/>
        <v>8</v>
      </c>
      <c r="B26" s="168"/>
      <c r="C26" s="170" t="str">
        <f>IF(Vorgaben!C26&lt;&gt;"",Vorgaben!C26,"")</f>
        <v>NN 8</v>
      </c>
      <c r="D26" s="170" t="str">
        <f>IF(Vorgaben!D26&lt;&gt;"",Vorgaben!D26,"")</f>
        <v>VN 8</v>
      </c>
      <c r="E26" s="311"/>
      <c r="F26" s="312" t="str">
        <f>IF(AND($C26&lt;&gt;"",Deutsch!F26&lt;&gt;0),Deutsch!F26,"")</f>
        <v/>
      </c>
      <c r="G26" s="313"/>
      <c r="H26" s="312" t="str">
        <f>IF(AND($C26&lt;&gt;"",Deutsch!H26&lt;&gt;0),Deutsch!H26,"")</f>
        <v/>
      </c>
      <c r="I26" s="314"/>
      <c r="J26" s="186">
        <f>IF($C26&lt;&gt;"",Deutsch!J26,"")</f>
        <v>0</v>
      </c>
      <c r="K26" s="314"/>
      <c r="L26" s="315" t="str">
        <f>IF($C26="","",(IF(Deutsch!L26="- -","- -",(IF(Deutsch!L26="x","x: "&amp;Deutsch!P26,(IF(AND(Deutsch!L26="frw. ?",Deutsch!N26=""),"frw. ?",(IF(AND(Deutsch!L26="frw. ?",Deutsch!N26="j"),"frw.: "&amp;Deutsch!P26,"frw.: n")))))))))</f>
        <v>- -</v>
      </c>
      <c r="M26" s="314"/>
      <c r="N26" s="316" t="str">
        <f>IF(AND($C26&lt;&gt;"",Deutsch!Z26&lt;&gt;0),Deutsch!Z26,"")</f>
        <v/>
      </c>
      <c r="O26" s="317" t="str">
        <f>IF(AND($C26&lt;&gt;"",Fremdsprache!E26&lt;&gt;""),Fremdsprache!E26,"")</f>
        <v/>
      </c>
      <c r="P26" s="312" t="str">
        <f>IF(AND($C26&lt;&gt;"",Fremdsprache!F26&lt;&gt;0),Fremdsprache!F26,"")</f>
        <v/>
      </c>
      <c r="Q26" s="313"/>
      <c r="R26" s="312" t="str">
        <f>IF(AND($C26&lt;&gt;"",Fremdsprache!H26&lt;&gt;0),Fremdsprache!H26,"")</f>
        <v/>
      </c>
      <c r="S26" s="314"/>
      <c r="T26" s="186">
        <f>IF($C26&lt;&gt;"",Fremdsprache!J26,"")</f>
        <v>0</v>
      </c>
      <c r="U26" s="314"/>
      <c r="V26" s="315" t="str">
        <f>IF($C26="","",(IF(Fremdsprache!L26="- -","- -",(IF(Fremdsprache!L26="x","x: "&amp;Fremdsprache!P26,(IF(AND(Fremdsprache!L26="frw. ?",Fremdsprache!N26=""),"frw. ?",(IF(AND(Fremdsprache!L26="frw. ?",Fremdsprache!N26="j"),"frw.: "&amp;Fremdsprache!P26,"frw.: n")))))))))</f>
        <v>- -</v>
      </c>
      <c r="W26" s="314"/>
      <c r="X26" s="318" t="str">
        <f>IF(AND($C26&lt;&gt;"",Fremdsprache!Z26&lt;&gt;0),Fremdsprache!Z26,"")</f>
        <v/>
      </c>
      <c r="Y26" s="311"/>
      <c r="Z26" s="312" t="str">
        <f>IF(AND($C26&lt;&gt;"",Mathematik!F26&lt;&gt;0),Mathematik!F26,"")</f>
        <v/>
      </c>
      <c r="AA26" s="313"/>
      <c r="AB26" s="312" t="str">
        <f>IF(AND($C26&lt;&gt;"",Mathematik!H26&lt;&gt;0),Mathematik!H26,"")</f>
        <v/>
      </c>
      <c r="AC26" s="314"/>
      <c r="AD26" s="186">
        <f>IF($C26&lt;&gt;"",Mathematik!J26,"")</f>
        <v>0</v>
      </c>
      <c r="AE26" s="314"/>
      <c r="AF26" s="315" t="str">
        <f>IF($C26="","",(IF(Mathematik!L26="- -","- -",(IF(Mathematik!L26="x","x: "&amp;Mathematik!P26,(IF(AND(Mathematik!L26="frw. ?",Mathematik!N26=""),"frw. ?",(IF(AND(Mathematik!L26="frw. ?",Mathematik!N26="j"),"frw.: "&amp;Mathematik!P26,"frw.: n")))))))))</f>
        <v>- -</v>
      </c>
      <c r="AG26" s="314"/>
      <c r="AH26" s="320" t="str">
        <f>IF(AND($C26&lt;&gt;"",Mathematik!Z26&lt;&gt;0),Mathematik!Z26,"")</f>
        <v/>
      </c>
      <c r="AI26" s="309" t="str">
        <f t="shared" ca="1" si="3"/>
        <v/>
      </c>
      <c r="AJ26" s="310" t="str">
        <f t="shared" si="0"/>
        <v/>
      </c>
      <c r="AK26" s="310" t="str">
        <f t="shared" si="1"/>
        <v/>
      </c>
      <c r="AL26" s="310" t="str">
        <f t="shared" si="2"/>
        <v/>
      </c>
      <c r="AM26" s="154"/>
      <c r="AN26" s="154"/>
      <c r="AO26" s="154"/>
    </row>
    <row r="27" spans="1:41" s="13" customFormat="1" ht="20.100000000000001" customHeight="1" x14ac:dyDescent="0.2">
      <c r="A27" s="167">
        <f t="shared" si="4"/>
        <v>9</v>
      </c>
      <c r="B27" s="168"/>
      <c r="C27" s="170" t="str">
        <f>IF(Vorgaben!C27&lt;&gt;"",Vorgaben!C27,"")</f>
        <v>NN 9</v>
      </c>
      <c r="D27" s="170" t="str">
        <f>IF(Vorgaben!D27&lt;&gt;"",Vorgaben!D27,"")</f>
        <v>VN 9</v>
      </c>
      <c r="E27" s="311"/>
      <c r="F27" s="312" t="str">
        <f>IF(AND($C27&lt;&gt;"",Deutsch!F27&lt;&gt;0),Deutsch!F27,"")</f>
        <v/>
      </c>
      <c r="G27" s="313"/>
      <c r="H27" s="312" t="str">
        <f>IF(AND($C27&lt;&gt;"",Deutsch!H27&lt;&gt;0),Deutsch!H27,"")</f>
        <v/>
      </c>
      <c r="I27" s="314"/>
      <c r="J27" s="186">
        <f>IF($C27&lt;&gt;"",Deutsch!J27,"")</f>
        <v>0</v>
      </c>
      <c r="K27" s="314"/>
      <c r="L27" s="315" t="str">
        <f>IF($C27="","",(IF(Deutsch!L27="- -","- -",(IF(Deutsch!L27="x","x: "&amp;Deutsch!P27,(IF(AND(Deutsch!L27="frw. ?",Deutsch!N27=""),"frw. ?",(IF(AND(Deutsch!L27="frw. ?",Deutsch!N27="j"),"frw.: "&amp;Deutsch!P27,"frw.: n")))))))))</f>
        <v>- -</v>
      </c>
      <c r="M27" s="314"/>
      <c r="N27" s="316" t="str">
        <f>IF(AND($C27&lt;&gt;"",Deutsch!Z27&lt;&gt;0),Deutsch!Z27,"")</f>
        <v/>
      </c>
      <c r="O27" s="317" t="str">
        <f>IF(AND($C27&lt;&gt;"",Fremdsprache!E27&lt;&gt;""),Fremdsprache!E27,"")</f>
        <v/>
      </c>
      <c r="P27" s="312" t="str">
        <f>IF(AND($C27&lt;&gt;"",Fremdsprache!F27&lt;&gt;0),Fremdsprache!F27,"")</f>
        <v/>
      </c>
      <c r="Q27" s="313"/>
      <c r="R27" s="312" t="str">
        <f>IF(AND($C27&lt;&gt;"",Fremdsprache!H27&lt;&gt;0),Fremdsprache!H27,"")</f>
        <v/>
      </c>
      <c r="S27" s="314"/>
      <c r="T27" s="186">
        <f>IF($C27&lt;&gt;"",Fremdsprache!J27,"")</f>
        <v>0</v>
      </c>
      <c r="U27" s="314"/>
      <c r="V27" s="315" t="str">
        <f>IF($C27="","",(IF(Fremdsprache!L27="- -","- -",(IF(Fremdsprache!L27="x","x: "&amp;Fremdsprache!P27,(IF(AND(Fremdsprache!L27="frw. ?",Fremdsprache!N27=""),"frw. ?",(IF(AND(Fremdsprache!L27="frw. ?",Fremdsprache!N27="j"),"frw.: "&amp;Fremdsprache!P27,"frw.: n")))))))))</f>
        <v>- -</v>
      </c>
      <c r="W27" s="314"/>
      <c r="X27" s="318" t="str">
        <f>IF(AND($C27&lt;&gt;"",Fremdsprache!Z27&lt;&gt;0),Fremdsprache!Z27,"")</f>
        <v/>
      </c>
      <c r="Y27" s="311"/>
      <c r="Z27" s="312" t="str">
        <f>IF(AND($C27&lt;&gt;"",Mathematik!F27&lt;&gt;0),Mathematik!F27,"")</f>
        <v/>
      </c>
      <c r="AA27" s="313"/>
      <c r="AB27" s="312" t="str">
        <f>IF(AND($C27&lt;&gt;"",Mathematik!H27&lt;&gt;0),Mathematik!H27,"")</f>
        <v/>
      </c>
      <c r="AC27" s="314"/>
      <c r="AD27" s="186">
        <f>IF($C27&lt;&gt;"",Mathematik!J27,"")</f>
        <v>0</v>
      </c>
      <c r="AE27" s="314"/>
      <c r="AF27" s="315" t="str">
        <f>IF($C27="","",(IF(Mathematik!L27="- -","- -",(IF(Mathematik!L27="x","x: "&amp;Mathematik!P27,(IF(AND(Mathematik!L27="frw. ?",Mathematik!N27=""),"frw. ?",(IF(AND(Mathematik!L27="frw. ?",Mathematik!N27="j"),"frw.: "&amp;Mathematik!P27,"frw.: n")))))))))</f>
        <v>- -</v>
      </c>
      <c r="AG27" s="314"/>
      <c r="AH27" s="320" t="str">
        <f>IF(AND($C27&lt;&gt;"",Mathematik!Z27&lt;&gt;0),Mathematik!Z27,"")</f>
        <v/>
      </c>
      <c r="AI27" s="309" t="str">
        <f t="shared" ca="1" si="3"/>
        <v/>
      </c>
      <c r="AJ27" s="310" t="str">
        <f t="shared" si="0"/>
        <v/>
      </c>
      <c r="AK27" s="310" t="str">
        <f t="shared" si="1"/>
        <v/>
      </c>
      <c r="AL27" s="310" t="str">
        <f t="shared" si="2"/>
        <v/>
      </c>
      <c r="AM27" s="154"/>
      <c r="AN27" s="154"/>
      <c r="AO27" s="154"/>
    </row>
    <row r="28" spans="1:41" s="13" customFormat="1" ht="20.100000000000001" customHeight="1" x14ac:dyDescent="0.2">
      <c r="A28" s="167">
        <f t="shared" si="4"/>
        <v>10</v>
      </c>
      <c r="B28" s="168"/>
      <c r="C28" s="170" t="str">
        <f>IF(Vorgaben!C28&lt;&gt;"",Vorgaben!C28,"")</f>
        <v>NN 10</v>
      </c>
      <c r="D28" s="170" t="str">
        <f>IF(Vorgaben!D28&lt;&gt;"",Vorgaben!D28,"")</f>
        <v>VN 10</v>
      </c>
      <c r="E28" s="311"/>
      <c r="F28" s="312" t="str">
        <f>IF(AND($C28&lt;&gt;"",Deutsch!F28&lt;&gt;0),Deutsch!F28,"")</f>
        <v/>
      </c>
      <c r="G28" s="313"/>
      <c r="H28" s="312" t="str">
        <f>IF(AND($C28&lt;&gt;"",Deutsch!H28&lt;&gt;0),Deutsch!H28,"")</f>
        <v/>
      </c>
      <c r="I28" s="314"/>
      <c r="J28" s="186">
        <f>IF($C28&lt;&gt;"",Deutsch!J28,"")</f>
        <v>0</v>
      </c>
      <c r="K28" s="314"/>
      <c r="L28" s="315" t="str">
        <f>IF($C28="","",(IF(Deutsch!L28="- -","- -",(IF(Deutsch!L28="x","x: "&amp;Deutsch!P28,(IF(AND(Deutsch!L28="frw. ?",Deutsch!N28=""),"frw. ?",(IF(AND(Deutsch!L28="frw. ?",Deutsch!N28="j"),"frw.: "&amp;Deutsch!P28,"frw.: n")))))))))</f>
        <v>- -</v>
      </c>
      <c r="M28" s="314"/>
      <c r="N28" s="316" t="str">
        <f>IF(AND($C28&lt;&gt;"",Deutsch!Z28&lt;&gt;0),Deutsch!Z28,"")</f>
        <v/>
      </c>
      <c r="O28" s="317" t="str">
        <f>IF(AND($C28&lt;&gt;"",Fremdsprache!E28&lt;&gt;""),Fremdsprache!E28,"")</f>
        <v/>
      </c>
      <c r="P28" s="312" t="str">
        <f>IF(AND($C28&lt;&gt;"",Fremdsprache!F28&lt;&gt;0),Fremdsprache!F28,"")</f>
        <v/>
      </c>
      <c r="Q28" s="313"/>
      <c r="R28" s="312" t="str">
        <f>IF(AND($C28&lt;&gt;"",Fremdsprache!H28&lt;&gt;0),Fremdsprache!H28,"")</f>
        <v/>
      </c>
      <c r="S28" s="314"/>
      <c r="T28" s="186">
        <f>IF($C28&lt;&gt;"",Fremdsprache!J28,"")</f>
        <v>0</v>
      </c>
      <c r="U28" s="314"/>
      <c r="V28" s="315" t="str">
        <f>IF($C28="","",(IF(Fremdsprache!L28="- -","- -",(IF(Fremdsprache!L28="x","x: "&amp;Fremdsprache!P28,(IF(AND(Fremdsprache!L28="frw. ?",Fremdsprache!N28=""),"frw. ?",(IF(AND(Fremdsprache!L28="frw. ?",Fremdsprache!N28="j"),"frw.: "&amp;Fremdsprache!P28,"frw.: n")))))))))</f>
        <v>- -</v>
      </c>
      <c r="W28" s="314"/>
      <c r="X28" s="318" t="str">
        <f>IF(AND($C28&lt;&gt;"",Fremdsprache!Z28&lt;&gt;0),Fremdsprache!Z28,"")</f>
        <v/>
      </c>
      <c r="Y28" s="311"/>
      <c r="Z28" s="312" t="str">
        <f>IF(AND($C28&lt;&gt;"",Mathematik!F28&lt;&gt;0),Mathematik!F28,"")</f>
        <v/>
      </c>
      <c r="AA28" s="313"/>
      <c r="AB28" s="312" t="str">
        <f>IF(AND($C28&lt;&gt;"",Mathematik!H28&lt;&gt;0),Mathematik!H28,"")</f>
        <v/>
      </c>
      <c r="AC28" s="314"/>
      <c r="AD28" s="186">
        <f>IF($C28&lt;&gt;"",Mathematik!J28,"")</f>
        <v>0</v>
      </c>
      <c r="AE28" s="314"/>
      <c r="AF28" s="315" t="str">
        <f>IF($C28="","",(IF(Mathematik!L28="- -","- -",(IF(Mathematik!L28="x","x: "&amp;Mathematik!P28,(IF(AND(Mathematik!L28="frw. ?",Mathematik!N28=""),"frw. ?",(IF(AND(Mathematik!L28="frw. ?",Mathematik!N28="j"),"frw.: "&amp;Mathematik!P28,"frw.: n")))))))))</f>
        <v>- -</v>
      </c>
      <c r="AG28" s="314"/>
      <c r="AH28" s="320" t="str">
        <f>IF(AND($C28&lt;&gt;"",Mathematik!Z28&lt;&gt;0),Mathematik!Z28,"")</f>
        <v/>
      </c>
      <c r="AI28" s="309" t="str">
        <f t="shared" ca="1" si="3"/>
        <v/>
      </c>
      <c r="AJ28" s="310" t="str">
        <f t="shared" si="0"/>
        <v/>
      </c>
      <c r="AK28" s="310" t="str">
        <f t="shared" si="1"/>
        <v/>
      </c>
      <c r="AL28" s="310" t="str">
        <f t="shared" si="2"/>
        <v/>
      </c>
      <c r="AM28" s="154"/>
      <c r="AN28" s="154"/>
      <c r="AO28" s="154"/>
    </row>
    <row r="29" spans="1:41" s="13" customFormat="1" ht="20.100000000000001" customHeight="1" x14ac:dyDescent="0.2">
      <c r="A29" s="167">
        <f t="shared" si="4"/>
        <v>11</v>
      </c>
      <c r="B29" s="168"/>
      <c r="C29" s="170" t="str">
        <f>IF(Vorgaben!C29&lt;&gt;"",Vorgaben!C29,"")</f>
        <v>NN 11</v>
      </c>
      <c r="D29" s="170" t="str">
        <f>IF(Vorgaben!D29&lt;&gt;"",Vorgaben!D29,"")</f>
        <v>VN 11</v>
      </c>
      <c r="E29" s="311"/>
      <c r="F29" s="312" t="str">
        <f>IF(AND($C29&lt;&gt;"",Deutsch!F29&lt;&gt;0),Deutsch!F29,"")</f>
        <v/>
      </c>
      <c r="G29" s="313"/>
      <c r="H29" s="312" t="str">
        <f>IF(AND($C29&lt;&gt;"",Deutsch!H29&lt;&gt;0),Deutsch!H29,"")</f>
        <v/>
      </c>
      <c r="I29" s="314"/>
      <c r="J29" s="186">
        <f>IF($C29&lt;&gt;"",Deutsch!J29,"")</f>
        <v>0</v>
      </c>
      <c r="K29" s="314"/>
      <c r="L29" s="315" t="str">
        <f>IF($C29="","",(IF(Deutsch!L29="- -","- -",(IF(Deutsch!L29="x","x: "&amp;Deutsch!P29,(IF(AND(Deutsch!L29="frw. ?",Deutsch!N29=""),"frw. ?",(IF(AND(Deutsch!L29="frw. ?",Deutsch!N29="j"),"frw.: "&amp;Deutsch!P29,"frw.: n")))))))))</f>
        <v>- -</v>
      </c>
      <c r="M29" s="314"/>
      <c r="N29" s="316" t="str">
        <f>IF(AND($C29&lt;&gt;"",Deutsch!Z29&lt;&gt;0),Deutsch!Z29,"")</f>
        <v/>
      </c>
      <c r="O29" s="317" t="str">
        <f>IF(AND($C29&lt;&gt;"",Fremdsprache!E29&lt;&gt;""),Fremdsprache!E29,"")</f>
        <v/>
      </c>
      <c r="P29" s="312" t="str">
        <f>IF(AND($C29&lt;&gt;"",Fremdsprache!F29&lt;&gt;0),Fremdsprache!F29,"")</f>
        <v/>
      </c>
      <c r="Q29" s="313"/>
      <c r="R29" s="312" t="str">
        <f>IF(AND($C29&lt;&gt;"",Fremdsprache!H29&lt;&gt;0),Fremdsprache!H29,"")</f>
        <v/>
      </c>
      <c r="S29" s="314"/>
      <c r="T29" s="186">
        <f>IF($C29&lt;&gt;"",Fremdsprache!J29,"")</f>
        <v>0</v>
      </c>
      <c r="U29" s="314"/>
      <c r="V29" s="315" t="str">
        <f>IF($C29="","",(IF(Fremdsprache!L29="- -","- -",(IF(Fremdsprache!L29="x","x: "&amp;Fremdsprache!P29,(IF(AND(Fremdsprache!L29="frw. ?",Fremdsprache!N29=""),"frw. ?",(IF(AND(Fremdsprache!L29="frw. ?",Fremdsprache!N29="j"),"frw.: "&amp;Fremdsprache!P29,"frw.: n")))))))))</f>
        <v>- -</v>
      </c>
      <c r="W29" s="314"/>
      <c r="X29" s="318" t="str">
        <f>IF(AND($C29&lt;&gt;"",Fremdsprache!Z29&lt;&gt;0),Fremdsprache!Z29,"")</f>
        <v/>
      </c>
      <c r="Y29" s="311"/>
      <c r="Z29" s="312" t="str">
        <f>IF(AND($C29&lt;&gt;"",Mathematik!F29&lt;&gt;0),Mathematik!F29,"")</f>
        <v/>
      </c>
      <c r="AA29" s="313"/>
      <c r="AB29" s="312" t="str">
        <f>IF(AND($C29&lt;&gt;"",Mathematik!H29&lt;&gt;0),Mathematik!H29,"")</f>
        <v/>
      </c>
      <c r="AC29" s="314"/>
      <c r="AD29" s="186">
        <f>IF($C29&lt;&gt;"",Mathematik!J29,"")</f>
        <v>0</v>
      </c>
      <c r="AE29" s="314"/>
      <c r="AF29" s="315" t="str">
        <f>IF($C29="","",(IF(Mathematik!L29="- -","- -",(IF(Mathematik!L29="x","x: "&amp;Mathematik!P29,(IF(AND(Mathematik!L29="frw. ?",Mathematik!N29=""),"frw. ?",(IF(AND(Mathematik!L29="frw. ?",Mathematik!N29="j"),"frw.: "&amp;Mathematik!P29,"frw.: n")))))))))</f>
        <v>- -</v>
      </c>
      <c r="AG29" s="314"/>
      <c r="AH29" s="320" t="str">
        <f>IF(AND($C29&lt;&gt;"",Mathematik!Z29&lt;&gt;0),Mathematik!Z29,"")</f>
        <v/>
      </c>
      <c r="AI29" s="309" t="str">
        <f t="shared" ca="1" si="3"/>
        <v/>
      </c>
      <c r="AJ29" s="310" t="str">
        <f t="shared" si="0"/>
        <v/>
      </c>
      <c r="AK29" s="310" t="str">
        <f t="shared" si="1"/>
        <v/>
      </c>
      <c r="AL29" s="310" t="str">
        <f t="shared" si="2"/>
        <v/>
      </c>
      <c r="AM29" s="154"/>
      <c r="AN29" s="154"/>
      <c r="AO29" s="154"/>
    </row>
    <row r="30" spans="1:41" s="13" customFormat="1" ht="20.100000000000001" customHeight="1" x14ac:dyDescent="0.2">
      <c r="A30" s="167">
        <f t="shared" si="4"/>
        <v>12</v>
      </c>
      <c r="B30" s="168"/>
      <c r="C30" s="170" t="str">
        <f>IF(Vorgaben!C30&lt;&gt;"",Vorgaben!C30,"")</f>
        <v>NN 12</v>
      </c>
      <c r="D30" s="170" t="str">
        <f>IF(Vorgaben!D30&lt;&gt;"",Vorgaben!D30,"")</f>
        <v>VN 12</v>
      </c>
      <c r="E30" s="311"/>
      <c r="F30" s="312" t="str">
        <f>IF(AND($C30&lt;&gt;"",Deutsch!F30&lt;&gt;0),Deutsch!F30,"")</f>
        <v/>
      </c>
      <c r="G30" s="313"/>
      <c r="H30" s="312" t="str">
        <f>IF(AND($C30&lt;&gt;"",Deutsch!H30&lt;&gt;0),Deutsch!H30,"")</f>
        <v/>
      </c>
      <c r="I30" s="314"/>
      <c r="J30" s="186">
        <f>IF($C30&lt;&gt;"",Deutsch!J30,"")</f>
        <v>0</v>
      </c>
      <c r="K30" s="314"/>
      <c r="L30" s="315" t="str">
        <f>IF($C30="","",(IF(Deutsch!L30="- -","- -",(IF(Deutsch!L30="x","x: "&amp;Deutsch!P30,(IF(AND(Deutsch!L30="frw. ?",Deutsch!N30=""),"frw. ?",(IF(AND(Deutsch!L30="frw. ?",Deutsch!N30="j"),"frw.: "&amp;Deutsch!P30,"frw.: n")))))))))</f>
        <v>- -</v>
      </c>
      <c r="M30" s="314"/>
      <c r="N30" s="316" t="str">
        <f>IF(AND($C30&lt;&gt;"",Deutsch!Z30&lt;&gt;0),Deutsch!Z30,"")</f>
        <v/>
      </c>
      <c r="O30" s="317" t="str">
        <f>IF(AND($C30&lt;&gt;"",Fremdsprache!E30&lt;&gt;""),Fremdsprache!E30,"")</f>
        <v/>
      </c>
      <c r="P30" s="312" t="str">
        <f>IF(AND($C30&lt;&gt;"",Fremdsprache!F30&lt;&gt;0),Fremdsprache!F30,"")</f>
        <v/>
      </c>
      <c r="Q30" s="313"/>
      <c r="R30" s="312" t="str">
        <f>IF(AND($C30&lt;&gt;"",Fremdsprache!H30&lt;&gt;0),Fremdsprache!H30,"")</f>
        <v/>
      </c>
      <c r="S30" s="314"/>
      <c r="T30" s="186">
        <f>IF($C30&lt;&gt;"",Fremdsprache!J30,"")</f>
        <v>0</v>
      </c>
      <c r="U30" s="314"/>
      <c r="V30" s="315" t="str">
        <f>IF($C30="","",(IF(Fremdsprache!L30="- -","- -",(IF(Fremdsprache!L30="x","x: "&amp;Fremdsprache!P30,(IF(AND(Fremdsprache!L30="frw. ?",Fremdsprache!N30=""),"frw. ?",(IF(AND(Fremdsprache!L30="frw. ?",Fremdsprache!N30="j"),"frw.: "&amp;Fremdsprache!P30,"frw.: n")))))))))</f>
        <v>- -</v>
      </c>
      <c r="W30" s="314"/>
      <c r="X30" s="318" t="str">
        <f>IF(AND($C30&lt;&gt;"",Fremdsprache!Z30&lt;&gt;0),Fremdsprache!Z30,"")</f>
        <v/>
      </c>
      <c r="Y30" s="311"/>
      <c r="Z30" s="312" t="str">
        <f>IF(AND($C30&lt;&gt;"",Mathematik!F30&lt;&gt;0),Mathematik!F30,"")</f>
        <v/>
      </c>
      <c r="AA30" s="313"/>
      <c r="AB30" s="312" t="str">
        <f>IF(AND($C30&lt;&gt;"",Mathematik!H30&lt;&gt;0),Mathematik!H30,"")</f>
        <v/>
      </c>
      <c r="AC30" s="314"/>
      <c r="AD30" s="186">
        <f>IF($C30&lt;&gt;"",Mathematik!J30,"")</f>
        <v>0</v>
      </c>
      <c r="AE30" s="314"/>
      <c r="AF30" s="315" t="str">
        <f>IF($C30="","",(IF(Mathematik!L30="- -","- -",(IF(Mathematik!L30="x","x: "&amp;Mathematik!P30,(IF(AND(Mathematik!L30="frw. ?",Mathematik!N30=""),"frw. ?",(IF(AND(Mathematik!L30="frw. ?",Mathematik!N30="j"),"frw.: "&amp;Mathematik!P30,"frw.: n")))))))))</f>
        <v>- -</v>
      </c>
      <c r="AG30" s="314"/>
      <c r="AH30" s="320" t="str">
        <f>IF(AND($C30&lt;&gt;"",Mathematik!Z30&lt;&gt;0),Mathematik!Z30,"")</f>
        <v/>
      </c>
      <c r="AI30" s="309" t="str">
        <f t="shared" ca="1" si="3"/>
        <v/>
      </c>
      <c r="AJ30" s="310" t="str">
        <f t="shared" si="0"/>
        <v/>
      </c>
      <c r="AK30" s="310" t="str">
        <f t="shared" si="1"/>
        <v/>
      </c>
      <c r="AL30" s="310" t="str">
        <f t="shared" si="2"/>
        <v/>
      </c>
      <c r="AM30" s="154"/>
      <c r="AN30" s="154"/>
      <c r="AO30" s="154"/>
    </row>
    <row r="31" spans="1:41" s="13" customFormat="1" ht="20.100000000000001" customHeight="1" x14ac:dyDescent="0.2">
      <c r="A31" s="167">
        <f t="shared" si="4"/>
        <v>13</v>
      </c>
      <c r="B31" s="168"/>
      <c r="C31" s="170" t="str">
        <f>IF(Vorgaben!C31&lt;&gt;"",Vorgaben!C31,"")</f>
        <v>NN 13</v>
      </c>
      <c r="D31" s="170" t="str">
        <f>IF(Vorgaben!D31&lt;&gt;"",Vorgaben!D31,"")</f>
        <v>VN 13</v>
      </c>
      <c r="E31" s="311"/>
      <c r="F31" s="312" t="str">
        <f>IF(AND($C31&lt;&gt;"",Deutsch!F31&lt;&gt;0),Deutsch!F31,"")</f>
        <v/>
      </c>
      <c r="G31" s="313"/>
      <c r="H31" s="312" t="str">
        <f>IF(AND($C31&lt;&gt;"",Deutsch!H31&lt;&gt;0),Deutsch!H31,"")</f>
        <v/>
      </c>
      <c r="I31" s="314"/>
      <c r="J31" s="186">
        <f>IF($C31&lt;&gt;"",Deutsch!J31,"")</f>
        <v>0</v>
      </c>
      <c r="K31" s="314"/>
      <c r="L31" s="315" t="str">
        <f>IF($C31="","",(IF(Deutsch!L31="- -","- -",(IF(Deutsch!L31="x","x: "&amp;Deutsch!P31,(IF(AND(Deutsch!L31="frw. ?",Deutsch!N31=""),"frw. ?",(IF(AND(Deutsch!L31="frw. ?",Deutsch!N31="j"),"frw.: "&amp;Deutsch!P31,"frw.: n")))))))))</f>
        <v>- -</v>
      </c>
      <c r="M31" s="314"/>
      <c r="N31" s="316" t="str">
        <f>IF(AND($C31&lt;&gt;"",Deutsch!Z31&lt;&gt;0),Deutsch!Z31,"")</f>
        <v/>
      </c>
      <c r="O31" s="317" t="str">
        <f>IF(AND($C31&lt;&gt;"",Fremdsprache!E31&lt;&gt;""),Fremdsprache!E31,"")</f>
        <v/>
      </c>
      <c r="P31" s="312" t="str">
        <f>IF(AND($C31&lt;&gt;"",Fremdsprache!F31&lt;&gt;0),Fremdsprache!F31,"")</f>
        <v/>
      </c>
      <c r="Q31" s="313"/>
      <c r="R31" s="312" t="str">
        <f>IF(AND($C31&lt;&gt;"",Fremdsprache!H31&lt;&gt;0),Fremdsprache!H31,"")</f>
        <v/>
      </c>
      <c r="S31" s="314"/>
      <c r="T31" s="186">
        <f>IF($C31&lt;&gt;"",Fremdsprache!J31,"")</f>
        <v>0</v>
      </c>
      <c r="U31" s="314"/>
      <c r="V31" s="315" t="str">
        <f>IF($C31="","",(IF(Fremdsprache!L31="- -","- -",(IF(Fremdsprache!L31="x","x: "&amp;Fremdsprache!P31,(IF(AND(Fremdsprache!L31="frw. ?",Fremdsprache!N31=""),"frw. ?",(IF(AND(Fremdsprache!L31="frw. ?",Fremdsprache!N31="j"),"frw.: "&amp;Fremdsprache!P31,"frw.: n")))))))))</f>
        <v>- -</v>
      </c>
      <c r="W31" s="314"/>
      <c r="X31" s="318" t="str">
        <f>IF(AND($C31&lt;&gt;"",Fremdsprache!Z31&lt;&gt;0),Fremdsprache!Z31,"")</f>
        <v/>
      </c>
      <c r="Y31" s="311"/>
      <c r="Z31" s="312" t="str">
        <f>IF(AND($C31&lt;&gt;"",Mathematik!F31&lt;&gt;0),Mathematik!F31,"")</f>
        <v/>
      </c>
      <c r="AA31" s="313"/>
      <c r="AB31" s="312" t="str">
        <f>IF(AND($C31&lt;&gt;"",Mathematik!H31&lt;&gt;0),Mathematik!H31,"")</f>
        <v/>
      </c>
      <c r="AC31" s="314"/>
      <c r="AD31" s="186">
        <f>IF($C31&lt;&gt;"",Mathematik!J31,"")</f>
        <v>0</v>
      </c>
      <c r="AE31" s="314"/>
      <c r="AF31" s="315" t="str">
        <f>IF($C31="","",(IF(Mathematik!L31="- -","- -",(IF(Mathematik!L31="x","x: "&amp;Mathematik!P31,(IF(AND(Mathematik!L31="frw. ?",Mathematik!N31=""),"frw. ?",(IF(AND(Mathematik!L31="frw. ?",Mathematik!N31="j"),"frw.: "&amp;Mathematik!P31,"frw.: n")))))))))</f>
        <v>- -</v>
      </c>
      <c r="AG31" s="314"/>
      <c r="AH31" s="320" t="str">
        <f>IF(AND($C31&lt;&gt;"",Mathematik!Z31&lt;&gt;0),Mathematik!Z31,"")</f>
        <v/>
      </c>
      <c r="AI31" s="309" t="str">
        <f t="shared" ca="1" si="3"/>
        <v/>
      </c>
      <c r="AJ31" s="310" t="str">
        <f t="shared" si="0"/>
        <v/>
      </c>
      <c r="AK31" s="310" t="str">
        <f t="shared" si="1"/>
        <v/>
      </c>
      <c r="AL31" s="310" t="str">
        <f t="shared" si="2"/>
        <v/>
      </c>
      <c r="AM31" s="154"/>
      <c r="AN31" s="154"/>
      <c r="AO31" s="154"/>
    </row>
    <row r="32" spans="1:41" s="13" customFormat="1" ht="20.100000000000001" customHeight="1" x14ac:dyDescent="0.2">
      <c r="A32" s="167">
        <f t="shared" si="4"/>
        <v>14</v>
      </c>
      <c r="B32" s="168"/>
      <c r="C32" s="170" t="str">
        <f>IF(Vorgaben!C32&lt;&gt;"",Vorgaben!C32,"")</f>
        <v>NN 14</v>
      </c>
      <c r="D32" s="170" t="str">
        <f>IF(Vorgaben!D32&lt;&gt;"",Vorgaben!D32,"")</f>
        <v>VN 14</v>
      </c>
      <c r="E32" s="311"/>
      <c r="F32" s="312" t="str">
        <f>IF(AND($C32&lt;&gt;"",Deutsch!F32&lt;&gt;0),Deutsch!F32,"")</f>
        <v/>
      </c>
      <c r="G32" s="313"/>
      <c r="H32" s="312" t="str">
        <f>IF(AND($C32&lt;&gt;"",Deutsch!H32&lt;&gt;0),Deutsch!H32,"")</f>
        <v/>
      </c>
      <c r="I32" s="314"/>
      <c r="J32" s="186">
        <f>IF($C32&lt;&gt;"",Deutsch!J32,"")</f>
        <v>0</v>
      </c>
      <c r="K32" s="314"/>
      <c r="L32" s="315" t="str">
        <f>IF($C32="","",(IF(Deutsch!L32="- -","- -",(IF(Deutsch!L32="x","x: "&amp;Deutsch!P32,(IF(AND(Deutsch!L32="frw. ?",Deutsch!N32=""),"frw. ?",(IF(AND(Deutsch!L32="frw. ?",Deutsch!N32="j"),"frw.: "&amp;Deutsch!P32,"frw.: n")))))))))</f>
        <v>- -</v>
      </c>
      <c r="M32" s="314"/>
      <c r="N32" s="316" t="str">
        <f>IF(AND($C32&lt;&gt;"",Deutsch!Z32&lt;&gt;0),Deutsch!Z32,"")</f>
        <v/>
      </c>
      <c r="O32" s="317" t="str">
        <f>IF(AND($C32&lt;&gt;"",Fremdsprache!E32&lt;&gt;""),Fremdsprache!E32,"")</f>
        <v/>
      </c>
      <c r="P32" s="312" t="str">
        <f>IF(AND($C32&lt;&gt;"",Fremdsprache!F32&lt;&gt;0),Fremdsprache!F32,"")</f>
        <v/>
      </c>
      <c r="Q32" s="313"/>
      <c r="R32" s="312" t="str">
        <f>IF(AND($C32&lt;&gt;"",Fremdsprache!H32&lt;&gt;0),Fremdsprache!H32,"")</f>
        <v/>
      </c>
      <c r="S32" s="314"/>
      <c r="T32" s="186">
        <f>IF($C32&lt;&gt;"",Fremdsprache!J32,"")</f>
        <v>0</v>
      </c>
      <c r="U32" s="314"/>
      <c r="V32" s="315" t="str">
        <f>IF($C32="","",(IF(Fremdsprache!L32="- -","- -",(IF(Fremdsprache!L32="x","x: "&amp;Fremdsprache!P32,(IF(AND(Fremdsprache!L32="frw. ?",Fremdsprache!N32=""),"frw. ?",(IF(AND(Fremdsprache!L32="frw. ?",Fremdsprache!N32="j"),"frw.: "&amp;Fremdsprache!P32,"frw.: n")))))))))</f>
        <v>- -</v>
      </c>
      <c r="W32" s="314"/>
      <c r="X32" s="318" t="str">
        <f>IF(AND($C32&lt;&gt;"",Fremdsprache!Z32&lt;&gt;0),Fremdsprache!Z32,"")</f>
        <v/>
      </c>
      <c r="Y32" s="311"/>
      <c r="Z32" s="312" t="str">
        <f>IF(AND($C32&lt;&gt;"",Mathematik!F32&lt;&gt;0),Mathematik!F32,"")</f>
        <v/>
      </c>
      <c r="AA32" s="313"/>
      <c r="AB32" s="312" t="str">
        <f>IF(AND($C32&lt;&gt;"",Mathematik!H32&lt;&gt;0),Mathematik!H32,"")</f>
        <v/>
      </c>
      <c r="AC32" s="314"/>
      <c r="AD32" s="186">
        <f>IF($C32&lt;&gt;"",Mathematik!J32,"")</f>
        <v>0</v>
      </c>
      <c r="AE32" s="314"/>
      <c r="AF32" s="315" t="str">
        <f>IF($C32="","",(IF(Mathematik!L32="- -","- -",(IF(Mathematik!L32="x","x: "&amp;Mathematik!P32,(IF(AND(Mathematik!L32="frw. ?",Mathematik!N32=""),"frw. ?",(IF(AND(Mathematik!L32="frw. ?",Mathematik!N32="j"),"frw.: "&amp;Mathematik!P32,"frw.: n")))))))))</f>
        <v>- -</v>
      </c>
      <c r="AG32" s="314"/>
      <c r="AH32" s="320" t="str">
        <f>IF(AND($C32&lt;&gt;"",Mathematik!Z32&lt;&gt;0),Mathematik!Z32,"")</f>
        <v/>
      </c>
      <c r="AI32" s="309" t="str">
        <f t="shared" ca="1" si="3"/>
        <v/>
      </c>
      <c r="AJ32" s="310" t="str">
        <f t="shared" si="0"/>
        <v/>
      </c>
      <c r="AK32" s="310" t="str">
        <f t="shared" si="1"/>
        <v/>
      </c>
      <c r="AL32" s="310" t="str">
        <f t="shared" si="2"/>
        <v/>
      </c>
      <c r="AM32" s="154"/>
      <c r="AN32" s="154"/>
      <c r="AO32" s="154"/>
    </row>
    <row r="33" spans="1:41" s="13" customFormat="1" ht="20.100000000000001" customHeight="1" x14ac:dyDescent="0.2">
      <c r="A33" s="167">
        <f t="shared" si="4"/>
        <v>15</v>
      </c>
      <c r="B33" s="168"/>
      <c r="C33" s="170" t="str">
        <f>IF(Vorgaben!C33&lt;&gt;"",Vorgaben!C33,"")</f>
        <v>NN 15</v>
      </c>
      <c r="D33" s="170" t="str">
        <f>IF(Vorgaben!D33&lt;&gt;"",Vorgaben!D33,"")</f>
        <v>VN 15</v>
      </c>
      <c r="E33" s="311"/>
      <c r="F33" s="312" t="str">
        <f>IF(AND($C33&lt;&gt;"",Deutsch!F33&lt;&gt;0),Deutsch!F33,"")</f>
        <v/>
      </c>
      <c r="G33" s="313"/>
      <c r="H33" s="312" t="str">
        <f>IF(AND($C33&lt;&gt;"",Deutsch!H33&lt;&gt;0),Deutsch!H33,"")</f>
        <v/>
      </c>
      <c r="I33" s="314"/>
      <c r="J33" s="186">
        <f>IF($C33&lt;&gt;"",Deutsch!J33,"")</f>
        <v>0</v>
      </c>
      <c r="K33" s="314"/>
      <c r="L33" s="315" t="str">
        <f>IF($C33="","",(IF(Deutsch!L33="- -","- -",(IF(Deutsch!L33="x","x: "&amp;Deutsch!P33,(IF(AND(Deutsch!L33="frw. ?",Deutsch!N33=""),"frw. ?",(IF(AND(Deutsch!L33="frw. ?",Deutsch!N33="j"),"frw.: "&amp;Deutsch!P33,"frw.: n")))))))))</f>
        <v>- -</v>
      </c>
      <c r="M33" s="314"/>
      <c r="N33" s="316" t="str">
        <f>IF(AND($C33&lt;&gt;"",Deutsch!Z33&lt;&gt;0),Deutsch!Z33,"")</f>
        <v/>
      </c>
      <c r="O33" s="317" t="str">
        <f>IF(AND($C33&lt;&gt;"",Fremdsprache!E33&lt;&gt;""),Fremdsprache!E33,"")</f>
        <v/>
      </c>
      <c r="P33" s="312" t="str">
        <f>IF(AND($C33&lt;&gt;"",Fremdsprache!F33&lt;&gt;0),Fremdsprache!F33,"")</f>
        <v/>
      </c>
      <c r="Q33" s="313"/>
      <c r="R33" s="312" t="str">
        <f>IF(AND($C33&lt;&gt;"",Fremdsprache!H33&lt;&gt;0),Fremdsprache!H33,"")</f>
        <v/>
      </c>
      <c r="S33" s="314"/>
      <c r="T33" s="186">
        <f>IF($C33&lt;&gt;"",Fremdsprache!J33,"")</f>
        <v>0</v>
      </c>
      <c r="U33" s="314"/>
      <c r="V33" s="315" t="str">
        <f>IF($C33="","",(IF(Fremdsprache!L33="- -","- -",(IF(Fremdsprache!L33="x","x: "&amp;Fremdsprache!P33,(IF(AND(Fremdsprache!L33="frw. ?",Fremdsprache!N33=""),"frw. ?",(IF(AND(Fremdsprache!L33="frw. ?",Fremdsprache!N33="j"),"frw.: "&amp;Fremdsprache!P33,"frw.: n")))))))))</f>
        <v>- -</v>
      </c>
      <c r="W33" s="314"/>
      <c r="X33" s="318" t="str">
        <f>IF(AND($C33&lt;&gt;"",Fremdsprache!Z33&lt;&gt;0),Fremdsprache!Z33,"")</f>
        <v/>
      </c>
      <c r="Y33" s="311"/>
      <c r="Z33" s="312" t="str">
        <f>IF(AND($C33&lt;&gt;"",Mathematik!F33&lt;&gt;0),Mathematik!F33,"")</f>
        <v/>
      </c>
      <c r="AA33" s="313"/>
      <c r="AB33" s="312" t="str">
        <f>IF(AND($C33&lt;&gt;"",Mathematik!H33&lt;&gt;0),Mathematik!H33,"")</f>
        <v/>
      </c>
      <c r="AC33" s="314"/>
      <c r="AD33" s="186">
        <f>IF($C33&lt;&gt;"",Mathematik!J33,"")</f>
        <v>0</v>
      </c>
      <c r="AE33" s="314"/>
      <c r="AF33" s="315" t="str">
        <f>IF($C33="","",(IF(Mathematik!L33="- -","- -",(IF(Mathematik!L33="x","x: "&amp;Mathematik!P33,(IF(AND(Mathematik!L33="frw. ?",Mathematik!N33=""),"frw. ?",(IF(AND(Mathematik!L33="frw. ?",Mathematik!N33="j"),"frw.: "&amp;Mathematik!P33,"frw.: n")))))))))</f>
        <v>- -</v>
      </c>
      <c r="AG33" s="314"/>
      <c r="AH33" s="320" t="str">
        <f>IF(AND($C33&lt;&gt;"",Mathematik!Z33&lt;&gt;0),Mathematik!Z33,"")</f>
        <v/>
      </c>
      <c r="AI33" s="309" t="str">
        <f t="shared" ca="1" si="3"/>
        <v/>
      </c>
      <c r="AJ33" s="310" t="str">
        <f t="shared" si="0"/>
        <v/>
      </c>
      <c r="AK33" s="310" t="str">
        <f t="shared" si="1"/>
        <v/>
      </c>
      <c r="AL33" s="310" t="str">
        <f t="shared" si="2"/>
        <v/>
      </c>
      <c r="AM33" s="154"/>
      <c r="AN33" s="154"/>
      <c r="AO33" s="154"/>
    </row>
    <row r="34" spans="1:41" s="13" customFormat="1" ht="20.100000000000001" customHeight="1" x14ac:dyDescent="0.2">
      <c r="A34" s="167">
        <f t="shared" si="4"/>
        <v>16</v>
      </c>
      <c r="B34" s="168"/>
      <c r="C34" s="170" t="str">
        <f>IF(Vorgaben!C34&lt;&gt;"",Vorgaben!C34,"")</f>
        <v>NN 16</v>
      </c>
      <c r="D34" s="170" t="str">
        <f>IF(Vorgaben!D34&lt;&gt;"",Vorgaben!D34,"")</f>
        <v>VN 16</v>
      </c>
      <c r="E34" s="311"/>
      <c r="F34" s="312" t="str">
        <f>IF(AND($C34&lt;&gt;"",Deutsch!F34&lt;&gt;0),Deutsch!F34,"")</f>
        <v/>
      </c>
      <c r="G34" s="313"/>
      <c r="H34" s="312" t="str">
        <f>IF(AND($C34&lt;&gt;"",Deutsch!H34&lt;&gt;0),Deutsch!H34,"")</f>
        <v/>
      </c>
      <c r="I34" s="314"/>
      <c r="J34" s="186">
        <f>IF($C34&lt;&gt;"",Deutsch!J34,"")</f>
        <v>0</v>
      </c>
      <c r="K34" s="314"/>
      <c r="L34" s="315" t="str">
        <f>IF($C34="","",(IF(Deutsch!L34="- -","- -",(IF(Deutsch!L34="x","x: "&amp;Deutsch!P34,(IF(AND(Deutsch!L34="frw. ?",Deutsch!N34=""),"frw. ?",(IF(AND(Deutsch!L34="frw. ?",Deutsch!N34="j"),"frw.: "&amp;Deutsch!P34,"frw.: n")))))))))</f>
        <v>- -</v>
      </c>
      <c r="M34" s="314"/>
      <c r="N34" s="316" t="str">
        <f>IF(AND($C34&lt;&gt;"",Deutsch!Z34&lt;&gt;0),Deutsch!Z34,"")</f>
        <v/>
      </c>
      <c r="O34" s="317" t="str">
        <f>IF(AND($C34&lt;&gt;"",Fremdsprache!E34&lt;&gt;""),Fremdsprache!E34,"")</f>
        <v/>
      </c>
      <c r="P34" s="312" t="str">
        <f>IF(AND($C34&lt;&gt;"",Fremdsprache!F34&lt;&gt;0),Fremdsprache!F34,"")</f>
        <v/>
      </c>
      <c r="Q34" s="313"/>
      <c r="R34" s="312" t="str">
        <f>IF(AND($C34&lt;&gt;"",Fremdsprache!H34&lt;&gt;0),Fremdsprache!H34,"")</f>
        <v/>
      </c>
      <c r="S34" s="314"/>
      <c r="T34" s="186">
        <f>IF($C34&lt;&gt;"",Fremdsprache!J34,"")</f>
        <v>0</v>
      </c>
      <c r="U34" s="314"/>
      <c r="V34" s="315" t="str">
        <f>IF($C34="","",(IF(Fremdsprache!L34="- -","- -",(IF(Fremdsprache!L34="x","x: "&amp;Fremdsprache!P34,(IF(AND(Fremdsprache!L34="frw. ?",Fremdsprache!N34=""),"frw. ?",(IF(AND(Fremdsprache!L34="frw. ?",Fremdsprache!N34="j"),"frw.: "&amp;Fremdsprache!P34,"frw.: n")))))))))</f>
        <v>- -</v>
      </c>
      <c r="W34" s="314"/>
      <c r="X34" s="318" t="str">
        <f>IF(AND($C34&lt;&gt;"",Fremdsprache!Z34&lt;&gt;0),Fremdsprache!Z34,"")</f>
        <v/>
      </c>
      <c r="Y34" s="311"/>
      <c r="Z34" s="312" t="str">
        <f>IF(AND($C34&lt;&gt;"",Mathematik!F34&lt;&gt;0),Mathematik!F34,"")</f>
        <v/>
      </c>
      <c r="AA34" s="313"/>
      <c r="AB34" s="312" t="str">
        <f>IF(AND($C34&lt;&gt;"",Mathematik!H34&lt;&gt;0),Mathematik!H34,"")</f>
        <v/>
      </c>
      <c r="AC34" s="314"/>
      <c r="AD34" s="186">
        <f>IF($C34&lt;&gt;"",Mathematik!J34,"")</f>
        <v>0</v>
      </c>
      <c r="AE34" s="314"/>
      <c r="AF34" s="315" t="str">
        <f>IF($C34="","",(IF(Mathematik!L34="- -","- -",(IF(Mathematik!L34="x","x: "&amp;Mathematik!P34,(IF(AND(Mathematik!L34="frw. ?",Mathematik!N34=""),"frw. ?",(IF(AND(Mathematik!L34="frw. ?",Mathematik!N34="j"),"frw.: "&amp;Mathematik!P34,"frw.: n")))))))))</f>
        <v>- -</v>
      </c>
      <c r="AG34" s="314"/>
      <c r="AH34" s="320" t="str">
        <f>IF(AND($C34&lt;&gt;"",Mathematik!Z34&lt;&gt;0),Mathematik!Z34,"")</f>
        <v/>
      </c>
      <c r="AI34" s="309" t="str">
        <f t="shared" ca="1" si="3"/>
        <v/>
      </c>
      <c r="AJ34" s="310" t="str">
        <f t="shared" si="0"/>
        <v/>
      </c>
      <c r="AK34" s="310" t="str">
        <f t="shared" si="1"/>
        <v/>
      </c>
      <c r="AL34" s="310" t="str">
        <f t="shared" si="2"/>
        <v/>
      </c>
      <c r="AM34" s="154"/>
      <c r="AN34" s="154"/>
      <c r="AO34" s="154"/>
    </row>
    <row r="35" spans="1:41" s="13" customFormat="1" ht="20.100000000000001" customHeight="1" x14ac:dyDescent="0.2">
      <c r="A35" s="167">
        <f t="shared" si="4"/>
        <v>17</v>
      </c>
      <c r="B35" s="168"/>
      <c r="C35" s="170" t="str">
        <f>IF(Vorgaben!C35&lt;&gt;"",Vorgaben!C35,"")</f>
        <v>NN 17</v>
      </c>
      <c r="D35" s="170" t="str">
        <f>IF(Vorgaben!D35&lt;&gt;"",Vorgaben!D35,"")</f>
        <v>VN 17</v>
      </c>
      <c r="E35" s="311"/>
      <c r="F35" s="312" t="str">
        <f>IF(AND($C35&lt;&gt;"",Deutsch!F35&lt;&gt;0),Deutsch!F35,"")</f>
        <v/>
      </c>
      <c r="G35" s="313"/>
      <c r="H35" s="312" t="str">
        <f>IF(AND($C35&lt;&gt;"",Deutsch!H35&lt;&gt;0),Deutsch!H35,"")</f>
        <v/>
      </c>
      <c r="I35" s="314"/>
      <c r="J35" s="186">
        <f>IF($C35&lt;&gt;"",Deutsch!J35,"")</f>
        <v>0</v>
      </c>
      <c r="K35" s="314"/>
      <c r="L35" s="315" t="str">
        <f>IF($C35="","",(IF(Deutsch!L35="- -","- -",(IF(Deutsch!L35="x","x: "&amp;Deutsch!P35,(IF(AND(Deutsch!L35="frw. ?",Deutsch!N35=""),"frw. ?",(IF(AND(Deutsch!L35="frw. ?",Deutsch!N35="j"),"frw.: "&amp;Deutsch!P35,"frw.: n")))))))))</f>
        <v>- -</v>
      </c>
      <c r="M35" s="314"/>
      <c r="N35" s="316" t="str">
        <f>IF(AND($C35&lt;&gt;"",Deutsch!Z35&lt;&gt;0),Deutsch!Z35,"")</f>
        <v/>
      </c>
      <c r="O35" s="317" t="str">
        <f>IF(AND($C35&lt;&gt;"",Fremdsprache!E35&lt;&gt;""),Fremdsprache!E35,"")</f>
        <v/>
      </c>
      <c r="P35" s="312" t="str">
        <f>IF(AND($C35&lt;&gt;"",Fremdsprache!F35&lt;&gt;0),Fremdsprache!F35,"")</f>
        <v/>
      </c>
      <c r="Q35" s="313"/>
      <c r="R35" s="312" t="str">
        <f>IF(AND($C35&lt;&gt;"",Fremdsprache!H35&lt;&gt;0),Fremdsprache!H35,"")</f>
        <v/>
      </c>
      <c r="S35" s="314"/>
      <c r="T35" s="186">
        <f>IF($C35&lt;&gt;"",Fremdsprache!J35,"")</f>
        <v>0</v>
      </c>
      <c r="U35" s="314"/>
      <c r="V35" s="315" t="str">
        <f>IF($C35="","",(IF(Fremdsprache!L35="- -","- -",(IF(Fremdsprache!L35="x","x: "&amp;Fremdsprache!P35,(IF(AND(Fremdsprache!L35="frw. ?",Fremdsprache!N35=""),"frw. ?",(IF(AND(Fremdsprache!L35="frw. ?",Fremdsprache!N35="j"),"frw.: "&amp;Fremdsprache!P35,"frw.: n")))))))))</f>
        <v>- -</v>
      </c>
      <c r="W35" s="314"/>
      <c r="X35" s="318" t="str">
        <f>IF(AND($C35&lt;&gt;"",Fremdsprache!Z35&lt;&gt;0),Fremdsprache!Z35,"")</f>
        <v/>
      </c>
      <c r="Y35" s="311"/>
      <c r="Z35" s="312" t="str">
        <f>IF(AND($C35&lt;&gt;"",Mathematik!F35&lt;&gt;0),Mathematik!F35,"")</f>
        <v/>
      </c>
      <c r="AA35" s="313"/>
      <c r="AB35" s="312" t="str">
        <f>IF(AND($C35&lt;&gt;"",Mathematik!H35&lt;&gt;0),Mathematik!H35,"")</f>
        <v/>
      </c>
      <c r="AC35" s="314"/>
      <c r="AD35" s="186">
        <f>IF($C35&lt;&gt;"",Mathematik!J35,"")</f>
        <v>0</v>
      </c>
      <c r="AE35" s="314"/>
      <c r="AF35" s="315" t="str">
        <f>IF($C35="","",(IF(Mathematik!L35="- -","- -",(IF(Mathematik!L35="x","x: "&amp;Mathematik!P35,(IF(AND(Mathematik!L35="frw. ?",Mathematik!N35=""),"frw. ?",(IF(AND(Mathematik!L35="frw. ?",Mathematik!N35="j"),"frw.: "&amp;Mathematik!P35,"frw.: n")))))))))</f>
        <v>- -</v>
      </c>
      <c r="AG35" s="314"/>
      <c r="AH35" s="320" t="str">
        <f>IF(AND($C35&lt;&gt;"",Mathematik!Z35&lt;&gt;0),Mathematik!Z35,"")</f>
        <v/>
      </c>
      <c r="AI35" s="309" t="str">
        <f t="shared" ca="1" si="3"/>
        <v/>
      </c>
      <c r="AJ35" s="310" t="str">
        <f t="shared" si="0"/>
        <v/>
      </c>
      <c r="AK35" s="310" t="str">
        <f t="shared" si="1"/>
        <v/>
      </c>
      <c r="AL35" s="310" t="str">
        <f t="shared" si="2"/>
        <v/>
      </c>
      <c r="AM35" s="154"/>
      <c r="AN35" s="154"/>
      <c r="AO35" s="154"/>
    </row>
    <row r="36" spans="1:41" s="13" customFormat="1" ht="20.100000000000001" customHeight="1" x14ac:dyDescent="0.2">
      <c r="A36" s="167">
        <f t="shared" si="4"/>
        <v>18</v>
      </c>
      <c r="B36" s="168"/>
      <c r="C36" s="170" t="str">
        <f>IF(Vorgaben!C36&lt;&gt;"",Vorgaben!C36,"")</f>
        <v>NN 18</v>
      </c>
      <c r="D36" s="170" t="str">
        <f>IF(Vorgaben!D36&lt;&gt;"",Vorgaben!D36,"")</f>
        <v>VN 18</v>
      </c>
      <c r="E36" s="311"/>
      <c r="F36" s="312" t="str">
        <f>IF(AND($C36&lt;&gt;"",Deutsch!F36&lt;&gt;0),Deutsch!F36,"")</f>
        <v/>
      </c>
      <c r="G36" s="313"/>
      <c r="H36" s="312" t="str">
        <f>IF(AND($C36&lt;&gt;"",Deutsch!H36&lt;&gt;0),Deutsch!H36,"")</f>
        <v/>
      </c>
      <c r="I36" s="314"/>
      <c r="J36" s="186">
        <f>IF($C36&lt;&gt;"",Deutsch!J36,"")</f>
        <v>0</v>
      </c>
      <c r="K36" s="314"/>
      <c r="L36" s="315" t="str">
        <f>IF($C36="","",(IF(Deutsch!L36="- -","- -",(IF(Deutsch!L36="x","x: "&amp;Deutsch!P36,(IF(AND(Deutsch!L36="frw. ?",Deutsch!N36=""),"frw. ?",(IF(AND(Deutsch!L36="frw. ?",Deutsch!N36="j"),"frw.: "&amp;Deutsch!P36,"frw.: n")))))))))</f>
        <v>- -</v>
      </c>
      <c r="M36" s="314"/>
      <c r="N36" s="316" t="str">
        <f>IF(AND($C36&lt;&gt;"",Deutsch!Z36&lt;&gt;0),Deutsch!Z36,"")</f>
        <v/>
      </c>
      <c r="O36" s="317" t="str">
        <f>IF(AND($C36&lt;&gt;"",Fremdsprache!E36&lt;&gt;""),Fremdsprache!E36,"")</f>
        <v/>
      </c>
      <c r="P36" s="312" t="str">
        <f>IF(AND($C36&lt;&gt;"",Fremdsprache!F36&lt;&gt;0),Fremdsprache!F36,"")</f>
        <v/>
      </c>
      <c r="Q36" s="313"/>
      <c r="R36" s="312" t="str">
        <f>IF(AND($C36&lt;&gt;"",Fremdsprache!H36&lt;&gt;0),Fremdsprache!H36,"")</f>
        <v/>
      </c>
      <c r="S36" s="314"/>
      <c r="T36" s="186">
        <f>IF($C36&lt;&gt;"",Fremdsprache!J36,"")</f>
        <v>0</v>
      </c>
      <c r="U36" s="314"/>
      <c r="V36" s="315" t="str">
        <f>IF($C36="","",(IF(Fremdsprache!L36="- -","- -",(IF(Fremdsprache!L36="x","x: "&amp;Fremdsprache!P36,(IF(AND(Fremdsprache!L36="frw. ?",Fremdsprache!N36=""),"frw. ?",(IF(AND(Fremdsprache!L36="frw. ?",Fremdsprache!N36="j"),"frw.: "&amp;Fremdsprache!P36,"frw.: n")))))))))</f>
        <v>- -</v>
      </c>
      <c r="W36" s="314"/>
      <c r="X36" s="318" t="str">
        <f>IF(AND($C36&lt;&gt;"",Fremdsprache!Z36&lt;&gt;0),Fremdsprache!Z36,"")</f>
        <v/>
      </c>
      <c r="Y36" s="311"/>
      <c r="Z36" s="312" t="str">
        <f>IF(AND($C36&lt;&gt;"",Mathematik!F36&lt;&gt;0),Mathematik!F36,"")</f>
        <v/>
      </c>
      <c r="AA36" s="313"/>
      <c r="AB36" s="312" t="str">
        <f>IF(AND($C36&lt;&gt;"",Mathematik!H36&lt;&gt;0),Mathematik!H36,"")</f>
        <v/>
      </c>
      <c r="AC36" s="314"/>
      <c r="AD36" s="186">
        <f>IF($C36&lt;&gt;"",Mathematik!J36,"")</f>
        <v>0</v>
      </c>
      <c r="AE36" s="314"/>
      <c r="AF36" s="315" t="str">
        <f>IF($C36="","",(IF(Mathematik!L36="- -","- -",(IF(Mathematik!L36="x","x: "&amp;Mathematik!P36,(IF(AND(Mathematik!L36="frw. ?",Mathematik!N36=""),"frw. ?",(IF(AND(Mathematik!L36="frw. ?",Mathematik!N36="j"),"frw.: "&amp;Mathematik!P36,"frw.: n")))))))))</f>
        <v>- -</v>
      </c>
      <c r="AG36" s="314"/>
      <c r="AH36" s="320" t="str">
        <f>IF(AND($C36&lt;&gt;"",Mathematik!Z36&lt;&gt;0),Mathematik!Z36,"")</f>
        <v/>
      </c>
      <c r="AI36" s="309" t="str">
        <f t="shared" ca="1" si="3"/>
        <v/>
      </c>
      <c r="AJ36" s="310" t="str">
        <f t="shared" si="0"/>
        <v/>
      </c>
      <c r="AK36" s="310" t="str">
        <f t="shared" si="1"/>
        <v/>
      </c>
      <c r="AL36" s="310" t="str">
        <f t="shared" si="2"/>
        <v/>
      </c>
      <c r="AM36" s="154"/>
      <c r="AN36" s="154"/>
      <c r="AO36" s="154"/>
    </row>
    <row r="37" spans="1:41" s="13" customFormat="1" ht="20.100000000000001" customHeight="1" x14ac:dyDescent="0.2">
      <c r="A37" s="167">
        <f t="shared" si="4"/>
        <v>19</v>
      </c>
      <c r="B37" s="168"/>
      <c r="C37" s="170" t="str">
        <f>IF(Vorgaben!C37&lt;&gt;"",Vorgaben!C37,"")</f>
        <v>NN 19</v>
      </c>
      <c r="D37" s="170" t="str">
        <f>IF(Vorgaben!D37&lt;&gt;"",Vorgaben!D37,"")</f>
        <v>VN 19</v>
      </c>
      <c r="E37" s="311"/>
      <c r="F37" s="312" t="str">
        <f>IF(AND($C37&lt;&gt;"",Deutsch!F37&lt;&gt;0),Deutsch!F37,"")</f>
        <v/>
      </c>
      <c r="G37" s="313"/>
      <c r="H37" s="312" t="str">
        <f>IF(AND($C37&lt;&gt;"",Deutsch!H37&lt;&gt;0),Deutsch!H37,"")</f>
        <v/>
      </c>
      <c r="I37" s="314"/>
      <c r="J37" s="186">
        <f>IF($C37&lt;&gt;"",Deutsch!J37,"")</f>
        <v>0</v>
      </c>
      <c r="K37" s="314"/>
      <c r="L37" s="315" t="str">
        <f>IF($C37="","",(IF(Deutsch!L37="- -","- -",(IF(Deutsch!L37="x","x: "&amp;Deutsch!P37,(IF(AND(Deutsch!L37="frw. ?",Deutsch!N37=""),"frw. ?",(IF(AND(Deutsch!L37="frw. ?",Deutsch!N37="j"),"frw.: "&amp;Deutsch!P37,"frw.: n")))))))))</f>
        <v>- -</v>
      </c>
      <c r="M37" s="314"/>
      <c r="N37" s="316" t="str">
        <f>IF(AND($C37&lt;&gt;"",Deutsch!Z37&lt;&gt;0),Deutsch!Z37,"")</f>
        <v/>
      </c>
      <c r="O37" s="317" t="str">
        <f>IF(AND($C37&lt;&gt;"",Fremdsprache!E37&lt;&gt;""),Fremdsprache!E37,"")</f>
        <v/>
      </c>
      <c r="P37" s="312" t="str">
        <f>IF(AND($C37&lt;&gt;"",Fremdsprache!F37&lt;&gt;0),Fremdsprache!F37,"")</f>
        <v/>
      </c>
      <c r="Q37" s="313"/>
      <c r="R37" s="312" t="str">
        <f>IF(AND($C37&lt;&gt;"",Fremdsprache!H37&lt;&gt;0),Fremdsprache!H37,"")</f>
        <v/>
      </c>
      <c r="S37" s="314"/>
      <c r="T37" s="186">
        <f>IF($C37&lt;&gt;"",Fremdsprache!J37,"")</f>
        <v>0</v>
      </c>
      <c r="U37" s="314"/>
      <c r="V37" s="315" t="str">
        <f>IF($C37="","",(IF(Fremdsprache!L37="- -","- -",(IF(Fremdsprache!L37="x","x: "&amp;Fremdsprache!P37,(IF(AND(Fremdsprache!L37="frw. ?",Fremdsprache!N37=""),"frw. ?",(IF(AND(Fremdsprache!L37="frw. ?",Fremdsprache!N37="j"),"frw.: "&amp;Fremdsprache!P37,"frw.: n")))))))))</f>
        <v>- -</v>
      </c>
      <c r="W37" s="314"/>
      <c r="X37" s="318" t="str">
        <f>IF(AND($C37&lt;&gt;"",Fremdsprache!Z37&lt;&gt;0),Fremdsprache!Z37,"")</f>
        <v/>
      </c>
      <c r="Y37" s="311"/>
      <c r="Z37" s="312" t="str">
        <f>IF(AND($C37&lt;&gt;"",Mathematik!F37&lt;&gt;0),Mathematik!F37,"")</f>
        <v/>
      </c>
      <c r="AA37" s="313"/>
      <c r="AB37" s="312" t="str">
        <f>IF(AND($C37&lt;&gt;"",Mathematik!H37&lt;&gt;0),Mathematik!H37,"")</f>
        <v/>
      </c>
      <c r="AC37" s="314"/>
      <c r="AD37" s="186">
        <f>IF($C37&lt;&gt;"",Mathematik!J37,"")</f>
        <v>0</v>
      </c>
      <c r="AE37" s="314"/>
      <c r="AF37" s="315" t="str">
        <f>IF($C37="","",(IF(Mathematik!L37="- -","- -",(IF(Mathematik!L37="x","x: "&amp;Mathematik!P37,(IF(AND(Mathematik!L37="frw. ?",Mathematik!N37=""),"frw. ?",(IF(AND(Mathematik!L37="frw. ?",Mathematik!N37="j"),"frw.: "&amp;Mathematik!P37,"frw.: n")))))))))</f>
        <v>- -</v>
      </c>
      <c r="AG37" s="314"/>
      <c r="AH37" s="320" t="str">
        <f>IF(AND($C37&lt;&gt;"",Mathematik!Z37&lt;&gt;0),Mathematik!Z37,"")</f>
        <v/>
      </c>
      <c r="AI37" s="309" t="str">
        <f t="shared" ca="1" si="3"/>
        <v/>
      </c>
      <c r="AJ37" s="310" t="str">
        <f t="shared" si="0"/>
        <v/>
      </c>
      <c r="AK37" s="310" t="str">
        <f t="shared" si="1"/>
        <v/>
      </c>
      <c r="AL37" s="310" t="str">
        <f t="shared" si="2"/>
        <v/>
      </c>
      <c r="AM37" s="154"/>
      <c r="AN37" s="154"/>
      <c r="AO37" s="154"/>
    </row>
    <row r="38" spans="1:41" s="13" customFormat="1" ht="20.100000000000001" customHeight="1" x14ac:dyDescent="0.2">
      <c r="A38" s="167">
        <f t="shared" si="4"/>
        <v>20</v>
      </c>
      <c r="B38" s="168"/>
      <c r="C38" s="170" t="str">
        <f>IF(Vorgaben!C38&lt;&gt;"",Vorgaben!C38,"")</f>
        <v>NN 20</v>
      </c>
      <c r="D38" s="170" t="str">
        <f>IF(Vorgaben!D38&lt;&gt;"",Vorgaben!D38,"")</f>
        <v>VN 20</v>
      </c>
      <c r="E38" s="311"/>
      <c r="F38" s="312" t="str">
        <f>IF(AND($C38&lt;&gt;"",Deutsch!F38&lt;&gt;0),Deutsch!F38,"")</f>
        <v/>
      </c>
      <c r="G38" s="313"/>
      <c r="H38" s="312" t="str">
        <f>IF(AND($C38&lt;&gt;"",Deutsch!H38&lt;&gt;0),Deutsch!H38,"")</f>
        <v/>
      </c>
      <c r="I38" s="314"/>
      <c r="J38" s="186">
        <f>IF($C38&lt;&gt;"",Deutsch!J38,"")</f>
        <v>0</v>
      </c>
      <c r="K38" s="314"/>
      <c r="L38" s="315" t="str">
        <f>IF($C38="","",(IF(Deutsch!L38="- -","- -",(IF(Deutsch!L38="x","x: "&amp;Deutsch!P38,(IF(AND(Deutsch!L38="frw. ?",Deutsch!N38=""),"frw. ?",(IF(AND(Deutsch!L38="frw. ?",Deutsch!N38="j"),"frw.: "&amp;Deutsch!P38,"frw.: n")))))))))</f>
        <v>- -</v>
      </c>
      <c r="M38" s="314"/>
      <c r="N38" s="316" t="str">
        <f>IF(AND($C38&lt;&gt;"",Deutsch!Z38&lt;&gt;0),Deutsch!Z38,"")</f>
        <v/>
      </c>
      <c r="O38" s="317" t="str">
        <f>IF(AND($C38&lt;&gt;"",Fremdsprache!E38&lt;&gt;""),Fremdsprache!E38,"")</f>
        <v/>
      </c>
      <c r="P38" s="312" t="str">
        <f>IF(AND($C38&lt;&gt;"",Fremdsprache!F38&lt;&gt;0),Fremdsprache!F38,"")</f>
        <v/>
      </c>
      <c r="Q38" s="313"/>
      <c r="R38" s="312" t="str">
        <f>IF(AND($C38&lt;&gt;"",Fremdsprache!H38&lt;&gt;0),Fremdsprache!H38,"")</f>
        <v/>
      </c>
      <c r="S38" s="314"/>
      <c r="T38" s="186">
        <f>IF($C38&lt;&gt;"",Fremdsprache!J38,"")</f>
        <v>0</v>
      </c>
      <c r="U38" s="314"/>
      <c r="V38" s="315" t="str">
        <f>IF($C38="","",(IF(Fremdsprache!L38="- -","- -",(IF(Fremdsprache!L38="x","x: "&amp;Fremdsprache!P38,(IF(AND(Fremdsprache!L38="frw. ?",Fremdsprache!N38=""),"frw. ?",(IF(AND(Fremdsprache!L38="frw. ?",Fremdsprache!N38="j"),"frw.: "&amp;Fremdsprache!P38,"frw.: n")))))))))</f>
        <v>- -</v>
      </c>
      <c r="W38" s="314"/>
      <c r="X38" s="318" t="str">
        <f>IF(AND($C38&lt;&gt;"",Fremdsprache!Z38&lt;&gt;0),Fremdsprache!Z38,"")</f>
        <v/>
      </c>
      <c r="Y38" s="311"/>
      <c r="Z38" s="312" t="str">
        <f>IF(AND($C38&lt;&gt;"",Mathematik!F38&lt;&gt;0),Mathematik!F38,"")</f>
        <v/>
      </c>
      <c r="AA38" s="313"/>
      <c r="AB38" s="312" t="str">
        <f>IF(AND($C38&lt;&gt;"",Mathematik!H38&lt;&gt;0),Mathematik!H38,"")</f>
        <v/>
      </c>
      <c r="AC38" s="314"/>
      <c r="AD38" s="186">
        <f>IF($C38&lt;&gt;"",Mathematik!J38,"")</f>
        <v>0</v>
      </c>
      <c r="AE38" s="314"/>
      <c r="AF38" s="315" t="str">
        <f>IF($C38="","",(IF(Mathematik!L38="- -","- -",(IF(Mathematik!L38="x","x: "&amp;Mathematik!P38,(IF(AND(Mathematik!L38="frw. ?",Mathematik!N38=""),"frw. ?",(IF(AND(Mathematik!L38="frw. ?",Mathematik!N38="j"),"frw.: "&amp;Mathematik!P38,"frw.: n")))))))))</f>
        <v>- -</v>
      </c>
      <c r="AG38" s="314"/>
      <c r="AH38" s="320" t="str">
        <f>IF(AND($C38&lt;&gt;"",Mathematik!Z38&lt;&gt;0),Mathematik!Z38,"")</f>
        <v/>
      </c>
      <c r="AI38" s="309" t="str">
        <f t="shared" ca="1" si="3"/>
        <v/>
      </c>
      <c r="AJ38" s="310" t="str">
        <f t="shared" si="0"/>
        <v/>
      </c>
      <c r="AK38" s="310" t="str">
        <f t="shared" si="1"/>
        <v/>
      </c>
      <c r="AL38" s="310" t="str">
        <f t="shared" si="2"/>
        <v/>
      </c>
      <c r="AM38" s="154"/>
      <c r="AN38" s="154"/>
      <c r="AO38" s="154"/>
    </row>
    <row r="39" spans="1:41" s="13" customFormat="1" ht="20.100000000000001" customHeight="1" x14ac:dyDescent="0.2">
      <c r="A39" s="167">
        <f t="shared" si="4"/>
        <v>21</v>
      </c>
      <c r="B39" s="168"/>
      <c r="C39" s="170" t="str">
        <f>IF(Vorgaben!C39&lt;&gt;"",Vorgaben!C39,"")</f>
        <v>NN 21</v>
      </c>
      <c r="D39" s="170" t="str">
        <f>IF(Vorgaben!D39&lt;&gt;"",Vorgaben!D39,"")</f>
        <v>VN 21</v>
      </c>
      <c r="E39" s="311"/>
      <c r="F39" s="312" t="str">
        <f>IF(AND($C39&lt;&gt;"",Deutsch!F39&lt;&gt;0),Deutsch!F39,"")</f>
        <v/>
      </c>
      <c r="G39" s="313"/>
      <c r="H39" s="312" t="str">
        <f>IF(AND($C39&lt;&gt;"",Deutsch!H39&lt;&gt;0),Deutsch!H39,"")</f>
        <v/>
      </c>
      <c r="I39" s="314"/>
      <c r="J39" s="186">
        <f>IF($C39&lt;&gt;"",Deutsch!J39,"")</f>
        <v>0</v>
      </c>
      <c r="K39" s="314"/>
      <c r="L39" s="315" t="str">
        <f>IF($C39="","",(IF(Deutsch!L39="- -","- -",(IF(Deutsch!L39="x","x: "&amp;Deutsch!P39,(IF(AND(Deutsch!L39="frw. ?",Deutsch!N39=""),"frw. ?",(IF(AND(Deutsch!L39="frw. ?",Deutsch!N39="j"),"frw.: "&amp;Deutsch!P39,"frw.: n")))))))))</f>
        <v>- -</v>
      </c>
      <c r="M39" s="314"/>
      <c r="N39" s="316" t="str">
        <f>IF(AND($C39&lt;&gt;"",Deutsch!Z39&lt;&gt;0),Deutsch!Z39,"")</f>
        <v/>
      </c>
      <c r="O39" s="317" t="str">
        <f>IF(AND($C39&lt;&gt;"",Fremdsprache!E39&lt;&gt;""),Fremdsprache!E39,"")</f>
        <v/>
      </c>
      <c r="P39" s="312" t="str">
        <f>IF(AND($C39&lt;&gt;"",Fremdsprache!F39&lt;&gt;0),Fremdsprache!F39,"")</f>
        <v/>
      </c>
      <c r="Q39" s="313"/>
      <c r="R39" s="312" t="str">
        <f>IF(AND($C39&lt;&gt;"",Fremdsprache!H39&lt;&gt;0),Fremdsprache!H39,"")</f>
        <v/>
      </c>
      <c r="S39" s="314"/>
      <c r="T39" s="186">
        <f>IF($C39&lt;&gt;"",Fremdsprache!J39,"")</f>
        <v>0</v>
      </c>
      <c r="U39" s="314"/>
      <c r="V39" s="315" t="str">
        <f>IF($C39="","",(IF(Fremdsprache!L39="- -","- -",(IF(Fremdsprache!L39="x","x: "&amp;Fremdsprache!P39,(IF(AND(Fremdsprache!L39="frw. ?",Fremdsprache!N39=""),"frw. ?",(IF(AND(Fremdsprache!L39="frw. ?",Fremdsprache!N39="j"),"frw.: "&amp;Fremdsprache!P39,"frw.: n")))))))))</f>
        <v>- -</v>
      </c>
      <c r="W39" s="314"/>
      <c r="X39" s="318" t="str">
        <f>IF(AND($C39&lt;&gt;"",Fremdsprache!Z39&lt;&gt;0),Fremdsprache!Z39,"")</f>
        <v/>
      </c>
      <c r="Y39" s="311"/>
      <c r="Z39" s="312" t="str">
        <f>IF(AND($C39&lt;&gt;"",Mathematik!F39&lt;&gt;0),Mathematik!F39,"")</f>
        <v/>
      </c>
      <c r="AA39" s="313"/>
      <c r="AB39" s="312" t="str">
        <f>IF(AND($C39&lt;&gt;"",Mathematik!H39&lt;&gt;0),Mathematik!H39,"")</f>
        <v/>
      </c>
      <c r="AC39" s="314"/>
      <c r="AD39" s="186">
        <f>IF($C39&lt;&gt;"",Mathematik!J39,"")</f>
        <v>0</v>
      </c>
      <c r="AE39" s="314"/>
      <c r="AF39" s="315" t="str">
        <f>IF($C39="","",(IF(Mathematik!L39="- -","- -",(IF(Mathematik!L39="x","x: "&amp;Mathematik!P39,(IF(AND(Mathematik!L39="frw. ?",Mathematik!N39=""),"frw. ?",(IF(AND(Mathematik!L39="frw. ?",Mathematik!N39="j"),"frw.: "&amp;Mathematik!P39,"frw.: n")))))))))</f>
        <v>- -</v>
      </c>
      <c r="AG39" s="314"/>
      <c r="AH39" s="320" t="str">
        <f>IF(AND($C39&lt;&gt;"",Mathematik!Z39&lt;&gt;0),Mathematik!Z39,"")</f>
        <v/>
      </c>
      <c r="AI39" s="309" t="str">
        <f t="shared" ca="1" si="3"/>
        <v/>
      </c>
      <c r="AJ39" s="310" t="str">
        <f t="shared" si="0"/>
        <v/>
      </c>
      <c r="AK39" s="310" t="str">
        <f t="shared" si="1"/>
        <v/>
      </c>
      <c r="AL39" s="310" t="str">
        <f t="shared" si="2"/>
        <v/>
      </c>
      <c r="AM39" s="154"/>
      <c r="AN39" s="154"/>
      <c r="AO39" s="154"/>
    </row>
    <row r="40" spans="1:41" s="13" customFormat="1" ht="20.100000000000001" customHeight="1" x14ac:dyDescent="0.2">
      <c r="A40" s="167">
        <f t="shared" si="4"/>
        <v>22</v>
      </c>
      <c r="B40" s="168"/>
      <c r="C40" s="170" t="str">
        <f>IF(Vorgaben!C40&lt;&gt;"",Vorgaben!C40,"")</f>
        <v>NN 22</v>
      </c>
      <c r="D40" s="170" t="str">
        <f>IF(Vorgaben!D40&lt;&gt;"",Vorgaben!D40,"")</f>
        <v>VN 22</v>
      </c>
      <c r="E40" s="311"/>
      <c r="F40" s="312" t="str">
        <f>IF(AND($C40&lt;&gt;"",Deutsch!F40&lt;&gt;0),Deutsch!F40,"")</f>
        <v/>
      </c>
      <c r="G40" s="313"/>
      <c r="H40" s="312" t="str">
        <f>IF(AND($C40&lt;&gt;"",Deutsch!H40&lt;&gt;0),Deutsch!H40,"")</f>
        <v/>
      </c>
      <c r="I40" s="314"/>
      <c r="J40" s="186">
        <f>IF($C40&lt;&gt;"",Deutsch!J40,"")</f>
        <v>0</v>
      </c>
      <c r="K40" s="314"/>
      <c r="L40" s="315" t="str">
        <f>IF($C40="","",(IF(Deutsch!L40="- -","- -",(IF(Deutsch!L40="x","x: "&amp;Deutsch!P40,(IF(AND(Deutsch!L40="frw. ?",Deutsch!N40=""),"frw. ?",(IF(AND(Deutsch!L40="frw. ?",Deutsch!N40="j"),"frw.: "&amp;Deutsch!P40,"frw.: n")))))))))</f>
        <v>- -</v>
      </c>
      <c r="M40" s="314"/>
      <c r="N40" s="316" t="str">
        <f>IF(AND($C40&lt;&gt;"",Deutsch!Z40&lt;&gt;0),Deutsch!Z40,"")</f>
        <v/>
      </c>
      <c r="O40" s="317" t="str">
        <f>IF(AND($C40&lt;&gt;"",Fremdsprache!E40&lt;&gt;""),Fremdsprache!E40,"")</f>
        <v/>
      </c>
      <c r="P40" s="312" t="str">
        <f>IF(AND($C40&lt;&gt;"",Fremdsprache!F40&lt;&gt;0),Fremdsprache!F40,"")</f>
        <v/>
      </c>
      <c r="Q40" s="313"/>
      <c r="R40" s="312" t="str">
        <f>IF(AND($C40&lt;&gt;"",Fremdsprache!H40&lt;&gt;0),Fremdsprache!H40,"")</f>
        <v/>
      </c>
      <c r="S40" s="314"/>
      <c r="T40" s="186">
        <f>IF($C40&lt;&gt;"",Fremdsprache!J40,"")</f>
        <v>0</v>
      </c>
      <c r="U40" s="314"/>
      <c r="V40" s="315" t="str">
        <f>IF($C40="","",(IF(Fremdsprache!L40="- -","- -",(IF(Fremdsprache!L40="x","x: "&amp;Fremdsprache!P40,(IF(AND(Fremdsprache!L40="frw. ?",Fremdsprache!N40=""),"frw. ?",(IF(AND(Fremdsprache!L40="frw. ?",Fremdsprache!N40="j"),"frw.: "&amp;Fremdsprache!P40,"frw.: n")))))))))</f>
        <v>- -</v>
      </c>
      <c r="W40" s="314"/>
      <c r="X40" s="318" t="str">
        <f>IF(AND($C40&lt;&gt;"",Fremdsprache!Z40&lt;&gt;0),Fremdsprache!Z40,"")</f>
        <v/>
      </c>
      <c r="Y40" s="311"/>
      <c r="Z40" s="312" t="str">
        <f>IF(AND($C40&lt;&gt;"",Mathematik!F40&lt;&gt;0),Mathematik!F40,"")</f>
        <v/>
      </c>
      <c r="AA40" s="313"/>
      <c r="AB40" s="312" t="str">
        <f>IF(AND($C40&lt;&gt;"",Mathematik!H40&lt;&gt;0),Mathematik!H40,"")</f>
        <v/>
      </c>
      <c r="AC40" s="314"/>
      <c r="AD40" s="186">
        <f>IF($C40&lt;&gt;"",Mathematik!J40,"")</f>
        <v>0</v>
      </c>
      <c r="AE40" s="314"/>
      <c r="AF40" s="315" t="str">
        <f>IF($C40="","",(IF(Mathematik!L40="- -","- -",(IF(Mathematik!L40="x","x: "&amp;Mathematik!P40,(IF(AND(Mathematik!L40="frw. ?",Mathematik!N40=""),"frw. ?",(IF(AND(Mathematik!L40="frw. ?",Mathematik!N40="j"),"frw.: "&amp;Mathematik!P40,"frw.: n")))))))))</f>
        <v>- -</v>
      </c>
      <c r="AG40" s="314"/>
      <c r="AH40" s="320" t="str">
        <f>IF(AND($C40&lt;&gt;"",Mathematik!Z40&lt;&gt;0),Mathematik!Z40,"")</f>
        <v/>
      </c>
      <c r="AI40" s="309" t="str">
        <f t="shared" ca="1" si="3"/>
        <v/>
      </c>
      <c r="AJ40" s="310" t="str">
        <f t="shared" si="0"/>
        <v/>
      </c>
      <c r="AK40" s="310" t="str">
        <f t="shared" si="1"/>
        <v/>
      </c>
      <c r="AL40" s="310" t="str">
        <f t="shared" si="2"/>
        <v/>
      </c>
      <c r="AM40" s="154"/>
      <c r="AN40" s="154"/>
      <c r="AO40" s="154"/>
    </row>
    <row r="41" spans="1:41" s="13" customFormat="1" ht="20.100000000000001" customHeight="1" x14ac:dyDescent="0.2">
      <c r="A41" s="167">
        <f t="shared" si="4"/>
        <v>23</v>
      </c>
      <c r="B41" s="168"/>
      <c r="C41" s="171" t="str">
        <f>IF(Vorgaben!C41&lt;&gt;"",Vorgaben!C41,"")</f>
        <v>NN 23</v>
      </c>
      <c r="D41" s="171" t="str">
        <f>IF(Vorgaben!D41&lt;&gt;"",Vorgaben!D41,"")</f>
        <v>VN 23</v>
      </c>
      <c r="E41" s="311"/>
      <c r="F41" s="312" t="str">
        <f>IF(AND($C41&lt;&gt;"",Deutsch!F41&lt;&gt;0),Deutsch!F41,"")</f>
        <v/>
      </c>
      <c r="G41" s="313"/>
      <c r="H41" s="312" t="str">
        <f>IF(AND($C41&lt;&gt;"",Deutsch!H41&lt;&gt;0),Deutsch!H41,"")</f>
        <v/>
      </c>
      <c r="I41" s="314"/>
      <c r="J41" s="186">
        <f>IF($C41&lt;&gt;"",Deutsch!J41,"")</f>
        <v>0</v>
      </c>
      <c r="K41" s="314"/>
      <c r="L41" s="315" t="str">
        <f>IF($C41="","",(IF(Deutsch!L41="- -","- -",(IF(Deutsch!L41="x","x: "&amp;Deutsch!P41,(IF(AND(Deutsch!L41="frw. ?",Deutsch!N41=""),"frw. ?",(IF(AND(Deutsch!L41="frw. ?",Deutsch!N41="j"),"frw.: "&amp;Deutsch!P41,"frw.: n")))))))))</f>
        <v>- -</v>
      </c>
      <c r="M41" s="314"/>
      <c r="N41" s="316" t="str">
        <f>IF(AND($C41&lt;&gt;"",Deutsch!Z41&lt;&gt;0),Deutsch!Z41,"")</f>
        <v/>
      </c>
      <c r="O41" s="317" t="str">
        <f>IF(AND($C41&lt;&gt;"",Fremdsprache!E41&lt;&gt;""),Fremdsprache!E41,"")</f>
        <v/>
      </c>
      <c r="P41" s="312" t="str">
        <f>IF(AND($C41&lt;&gt;"",Fremdsprache!F41&lt;&gt;0),Fremdsprache!F41,"")</f>
        <v/>
      </c>
      <c r="Q41" s="313"/>
      <c r="R41" s="312" t="str">
        <f>IF(AND($C41&lt;&gt;"",Fremdsprache!H41&lt;&gt;0),Fremdsprache!H41,"")</f>
        <v/>
      </c>
      <c r="S41" s="314"/>
      <c r="T41" s="186">
        <f>IF($C41&lt;&gt;"",Fremdsprache!J41,"")</f>
        <v>0</v>
      </c>
      <c r="U41" s="314"/>
      <c r="V41" s="315" t="str">
        <f>IF($C41="","",(IF(Fremdsprache!L41="- -","- -",(IF(Fremdsprache!L41="x","x: "&amp;Fremdsprache!P41,(IF(AND(Fremdsprache!L41="frw. ?",Fremdsprache!N41=""),"frw. ?",(IF(AND(Fremdsprache!L41="frw. ?",Fremdsprache!N41="j"),"frw.: "&amp;Fremdsprache!P41,"frw.: n")))))))))</f>
        <v>- -</v>
      </c>
      <c r="W41" s="314"/>
      <c r="X41" s="318" t="str">
        <f>IF(AND($C41&lt;&gt;"",Fremdsprache!Z41&lt;&gt;0),Fremdsprache!Z41,"")</f>
        <v/>
      </c>
      <c r="Y41" s="311"/>
      <c r="Z41" s="312" t="str">
        <f>IF(AND($C41&lt;&gt;"",Mathematik!F41&lt;&gt;0),Mathematik!F41,"")</f>
        <v/>
      </c>
      <c r="AA41" s="313"/>
      <c r="AB41" s="312" t="str">
        <f>IF(AND($C41&lt;&gt;"",Mathematik!H41&lt;&gt;0),Mathematik!H41,"")</f>
        <v/>
      </c>
      <c r="AC41" s="314"/>
      <c r="AD41" s="186">
        <f>IF($C41&lt;&gt;"",Mathematik!J41,"")</f>
        <v>0</v>
      </c>
      <c r="AE41" s="314"/>
      <c r="AF41" s="315" t="str">
        <f>IF($C41="","",(IF(Mathematik!L41="- -","- -",(IF(Mathematik!L41="x","x: "&amp;Mathematik!P41,(IF(AND(Mathematik!L41="frw. ?",Mathematik!N41=""),"frw. ?",(IF(AND(Mathematik!L41="frw. ?",Mathematik!N41="j"),"frw.: "&amp;Mathematik!P41,"frw.: n")))))))))</f>
        <v>- -</v>
      </c>
      <c r="AG41" s="314"/>
      <c r="AH41" s="320" t="str">
        <f>IF(AND($C41&lt;&gt;"",Mathematik!Z41&lt;&gt;0),Mathematik!Z41,"")</f>
        <v/>
      </c>
      <c r="AI41" s="309" t="str">
        <f t="shared" ca="1" si="3"/>
        <v/>
      </c>
      <c r="AJ41" s="310" t="str">
        <f t="shared" si="0"/>
        <v/>
      </c>
      <c r="AK41" s="310" t="str">
        <f t="shared" si="1"/>
        <v/>
      </c>
      <c r="AL41" s="310" t="str">
        <f t="shared" si="2"/>
        <v/>
      </c>
      <c r="AM41" s="154"/>
      <c r="AN41" s="154"/>
      <c r="AO41" s="154"/>
    </row>
    <row r="42" spans="1:41" s="13" customFormat="1" ht="20.100000000000001" customHeight="1" x14ac:dyDescent="0.2">
      <c r="A42" s="167">
        <f t="shared" si="4"/>
        <v>24</v>
      </c>
      <c r="B42" s="168"/>
      <c r="C42" s="171" t="str">
        <f>IF(Vorgaben!C42&lt;&gt;"",Vorgaben!C42,"")</f>
        <v>NN 24</v>
      </c>
      <c r="D42" s="171" t="str">
        <f>IF(Vorgaben!D42&lt;&gt;"",Vorgaben!D42,"")</f>
        <v>VN 24</v>
      </c>
      <c r="E42" s="311"/>
      <c r="F42" s="312" t="str">
        <f>IF(AND($C42&lt;&gt;"",Deutsch!F42&lt;&gt;0),Deutsch!F42,"")</f>
        <v/>
      </c>
      <c r="G42" s="313"/>
      <c r="H42" s="312" t="str">
        <f>IF(AND($C42&lt;&gt;"",Deutsch!H42&lt;&gt;0),Deutsch!H42,"")</f>
        <v/>
      </c>
      <c r="I42" s="314"/>
      <c r="J42" s="186">
        <f>IF($C42&lt;&gt;"",Deutsch!J42,"")</f>
        <v>0</v>
      </c>
      <c r="K42" s="314"/>
      <c r="L42" s="315" t="str">
        <f>IF($C42="","",(IF(Deutsch!L42="- -","- -",(IF(Deutsch!L42="x","x: "&amp;Deutsch!P42,(IF(AND(Deutsch!L42="frw. ?",Deutsch!N42=""),"frw. ?",(IF(AND(Deutsch!L42="frw. ?",Deutsch!N42="j"),"frw.: "&amp;Deutsch!P42,"frw.: n")))))))))</f>
        <v>- -</v>
      </c>
      <c r="M42" s="314"/>
      <c r="N42" s="316" t="str">
        <f>IF(AND($C42&lt;&gt;"",Deutsch!Z42&lt;&gt;0),Deutsch!Z42,"")</f>
        <v/>
      </c>
      <c r="O42" s="317" t="str">
        <f>IF(AND($C42&lt;&gt;"",Fremdsprache!E42&lt;&gt;""),Fremdsprache!E42,"")</f>
        <v/>
      </c>
      <c r="P42" s="312" t="str">
        <f>IF(AND($C42&lt;&gt;"",Fremdsprache!F42&lt;&gt;0),Fremdsprache!F42,"")</f>
        <v/>
      </c>
      <c r="Q42" s="313"/>
      <c r="R42" s="312" t="str">
        <f>IF(AND($C42&lt;&gt;"",Fremdsprache!H42&lt;&gt;0),Fremdsprache!H42,"")</f>
        <v/>
      </c>
      <c r="S42" s="314"/>
      <c r="T42" s="186">
        <f>IF($C42&lt;&gt;"",Fremdsprache!J42,"")</f>
        <v>0</v>
      </c>
      <c r="U42" s="314"/>
      <c r="V42" s="315" t="str">
        <f>IF($C42="","",(IF(Fremdsprache!L42="- -","- -",(IF(Fremdsprache!L42="x","x: "&amp;Fremdsprache!P42,(IF(AND(Fremdsprache!L42="frw. ?",Fremdsprache!N42=""),"frw. ?",(IF(AND(Fremdsprache!L42="frw. ?",Fremdsprache!N42="j"),"frw.: "&amp;Fremdsprache!P42,"frw.: n")))))))))</f>
        <v>- -</v>
      </c>
      <c r="W42" s="314"/>
      <c r="X42" s="318" t="str">
        <f>IF(AND($C42&lt;&gt;"",Fremdsprache!Z42&lt;&gt;0),Fremdsprache!Z42,"")</f>
        <v/>
      </c>
      <c r="Y42" s="311"/>
      <c r="Z42" s="312" t="str">
        <f>IF(AND($C42&lt;&gt;"",Mathematik!F42&lt;&gt;0),Mathematik!F42,"")</f>
        <v/>
      </c>
      <c r="AA42" s="313"/>
      <c r="AB42" s="312" t="str">
        <f>IF(AND($C42&lt;&gt;"",Mathematik!H42&lt;&gt;0),Mathematik!H42,"")</f>
        <v/>
      </c>
      <c r="AC42" s="314"/>
      <c r="AD42" s="186">
        <f>IF($C42&lt;&gt;"",Mathematik!J42,"")</f>
        <v>0</v>
      </c>
      <c r="AE42" s="314"/>
      <c r="AF42" s="315" t="str">
        <f>IF($C42="","",(IF(Mathematik!L42="- -","- -",(IF(Mathematik!L42="x","x: "&amp;Mathematik!P42,(IF(AND(Mathematik!L42="frw. ?",Mathematik!N42=""),"frw. ?",(IF(AND(Mathematik!L42="frw. ?",Mathematik!N42="j"),"frw.: "&amp;Mathematik!P42,"frw.: n")))))))))</f>
        <v>- -</v>
      </c>
      <c r="AG42" s="314"/>
      <c r="AH42" s="320" t="str">
        <f>IF(AND($C42&lt;&gt;"",Mathematik!Z42&lt;&gt;0),Mathematik!Z42,"")</f>
        <v/>
      </c>
      <c r="AI42" s="309" t="str">
        <f t="shared" ca="1" si="3"/>
        <v/>
      </c>
      <c r="AJ42" s="310" t="str">
        <f t="shared" si="0"/>
        <v/>
      </c>
      <c r="AK42" s="310" t="str">
        <f t="shared" si="1"/>
        <v/>
      </c>
      <c r="AL42" s="310" t="str">
        <f t="shared" si="2"/>
        <v/>
      </c>
      <c r="AM42" s="154"/>
      <c r="AN42" s="154"/>
      <c r="AO42" s="154"/>
    </row>
    <row r="43" spans="1:41" s="13" customFormat="1" ht="20.100000000000001" customHeight="1" x14ac:dyDescent="0.2">
      <c r="A43" s="167">
        <f t="shared" si="4"/>
        <v>25</v>
      </c>
      <c r="B43" s="168"/>
      <c r="C43" s="171" t="str">
        <f>IF(Vorgaben!C43&lt;&gt;"",Vorgaben!C43,"")</f>
        <v>NN 25</v>
      </c>
      <c r="D43" s="171" t="str">
        <f>IF(Vorgaben!D43&lt;&gt;"",Vorgaben!D43,"")</f>
        <v>VN 25</v>
      </c>
      <c r="E43" s="311"/>
      <c r="F43" s="312" t="str">
        <f>IF(AND($C43&lt;&gt;"",Deutsch!F43&lt;&gt;0),Deutsch!F43,"")</f>
        <v/>
      </c>
      <c r="G43" s="313"/>
      <c r="H43" s="312" t="str">
        <f>IF(AND($C43&lt;&gt;"",Deutsch!H43&lt;&gt;0),Deutsch!H43,"")</f>
        <v/>
      </c>
      <c r="I43" s="314"/>
      <c r="J43" s="186">
        <f>IF($C43&lt;&gt;"",Deutsch!J43,"")</f>
        <v>0</v>
      </c>
      <c r="K43" s="314"/>
      <c r="L43" s="315" t="str">
        <f>IF($C43="","",(IF(Deutsch!L43="- -","- -",(IF(Deutsch!L43="x","x: "&amp;Deutsch!P43,(IF(AND(Deutsch!L43="frw. ?",Deutsch!N43=""),"frw. ?",(IF(AND(Deutsch!L43="frw. ?",Deutsch!N43="j"),"frw.: "&amp;Deutsch!P43,"frw.: n")))))))))</f>
        <v>- -</v>
      </c>
      <c r="M43" s="314"/>
      <c r="N43" s="316" t="str">
        <f>IF(AND($C43&lt;&gt;"",Deutsch!Z43&lt;&gt;0),Deutsch!Z43,"")</f>
        <v/>
      </c>
      <c r="O43" s="317" t="str">
        <f>IF(AND($C43&lt;&gt;"",Fremdsprache!E43&lt;&gt;""),Fremdsprache!E43,"")</f>
        <v/>
      </c>
      <c r="P43" s="312" t="str">
        <f>IF(AND($C43&lt;&gt;"",Fremdsprache!F43&lt;&gt;0),Fremdsprache!F43,"")</f>
        <v/>
      </c>
      <c r="Q43" s="313"/>
      <c r="R43" s="312" t="str">
        <f>IF(AND($C43&lt;&gt;"",Fremdsprache!H43&lt;&gt;0),Fremdsprache!H43,"")</f>
        <v/>
      </c>
      <c r="S43" s="314"/>
      <c r="T43" s="186">
        <f>IF($C43&lt;&gt;"",Fremdsprache!J43,"")</f>
        <v>0</v>
      </c>
      <c r="U43" s="314"/>
      <c r="V43" s="315" t="str">
        <f>IF($C43="","",(IF(Fremdsprache!L43="- -","- -",(IF(Fremdsprache!L43="x","x: "&amp;Fremdsprache!P43,(IF(AND(Fremdsprache!L43="frw. ?",Fremdsprache!N43=""),"frw. ?",(IF(AND(Fremdsprache!L43="frw. ?",Fremdsprache!N43="j"),"frw.: "&amp;Fremdsprache!P43,"frw.: n")))))))))</f>
        <v>- -</v>
      </c>
      <c r="W43" s="314"/>
      <c r="X43" s="318" t="str">
        <f>IF(AND($C43&lt;&gt;"",Fremdsprache!Z43&lt;&gt;0),Fremdsprache!Z43,"")</f>
        <v/>
      </c>
      <c r="Y43" s="311"/>
      <c r="Z43" s="312" t="str">
        <f>IF(AND($C43&lt;&gt;"",Mathematik!F43&lt;&gt;0),Mathematik!F43,"")</f>
        <v/>
      </c>
      <c r="AA43" s="313"/>
      <c r="AB43" s="312" t="str">
        <f>IF(AND($C43&lt;&gt;"",Mathematik!H43&lt;&gt;0),Mathematik!H43,"")</f>
        <v/>
      </c>
      <c r="AC43" s="314"/>
      <c r="AD43" s="186">
        <f>IF($C43&lt;&gt;"",Mathematik!J43,"")</f>
        <v>0</v>
      </c>
      <c r="AE43" s="314"/>
      <c r="AF43" s="315" t="str">
        <f>IF($C43="","",(IF(Mathematik!L43="- -","- -",(IF(Mathematik!L43="x","x: "&amp;Mathematik!P43,(IF(AND(Mathematik!L43="frw. ?",Mathematik!N43=""),"frw. ?",(IF(AND(Mathematik!L43="frw. ?",Mathematik!N43="j"),"frw.: "&amp;Mathematik!P43,"frw.: n")))))))))</f>
        <v>- -</v>
      </c>
      <c r="AG43" s="314"/>
      <c r="AH43" s="320" t="str">
        <f>IF(AND($C43&lt;&gt;"",Mathematik!Z43&lt;&gt;0),Mathematik!Z43,"")</f>
        <v/>
      </c>
      <c r="AI43" s="309" t="str">
        <f t="shared" ca="1" si="3"/>
        <v/>
      </c>
      <c r="AJ43" s="310" t="str">
        <f t="shared" si="0"/>
        <v/>
      </c>
      <c r="AK43" s="310" t="str">
        <f t="shared" si="1"/>
        <v/>
      </c>
      <c r="AL43" s="310" t="str">
        <f t="shared" si="2"/>
        <v/>
      </c>
      <c r="AM43" s="154"/>
      <c r="AN43" s="154"/>
      <c r="AO43" s="154"/>
    </row>
    <row r="44" spans="1:41" s="13" customFormat="1" ht="20.100000000000001" customHeight="1" x14ac:dyDescent="0.2">
      <c r="A44" s="167">
        <f t="shared" si="4"/>
        <v>26</v>
      </c>
      <c r="B44" s="168"/>
      <c r="C44" s="170" t="str">
        <f>IF(Vorgaben!C44&lt;&gt;"",Vorgaben!C44,"")</f>
        <v>NN 26</v>
      </c>
      <c r="D44" s="170" t="str">
        <f>IF(Vorgaben!D44&lt;&gt;"",Vorgaben!D44,"")</f>
        <v>VN 26</v>
      </c>
      <c r="E44" s="311"/>
      <c r="F44" s="312" t="str">
        <f>IF(AND($C44&lt;&gt;"",Deutsch!F44&lt;&gt;0),Deutsch!F44,"")</f>
        <v/>
      </c>
      <c r="G44" s="313"/>
      <c r="H44" s="312" t="str">
        <f>IF(AND($C44&lt;&gt;"",Deutsch!H44&lt;&gt;0),Deutsch!H44,"")</f>
        <v/>
      </c>
      <c r="I44" s="314"/>
      <c r="J44" s="186">
        <f>IF($C44&lt;&gt;"",Deutsch!J44,"")</f>
        <v>0</v>
      </c>
      <c r="K44" s="314"/>
      <c r="L44" s="315" t="str">
        <f>IF($C44="","",(IF(Deutsch!L44="- -","- -",(IF(Deutsch!L44="x","x: "&amp;Deutsch!P44,(IF(AND(Deutsch!L44="frw. ?",Deutsch!N44=""),"frw. ?",(IF(AND(Deutsch!L44="frw. ?",Deutsch!N44="j"),"frw.: "&amp;Deutsch!P44,"frw.: n")))))))))</f>
        <v>- -</v>
      </c>
      <c r="M44" s="314"/>
      <c r="N44" s="316" t="str">
        <f>IF(AND($C44&lt;&gt;"",Deutsch!Z44&lt;&gt;0),Deutsch!Z44,"")</f>
        <v/>
      </c>
      <c r="O44" s="317" t="str">
        <f>IF(AND($C44&lt;&gt;"",Fremdsprache!E44&lt;&gt;""),Fremdsprache!E44,"")</f>
        <v/>
      </c>
      <c r="P44" s="312" t="str">
        <f>IF(AND($C44&lt;&gt;"",Fremdsprache!F44&lt;&gt;0),Fremdsprache!F44,"")</f>
        <v/>
      </c>
      <c r="Q44" s="313"/>
      <c r="R44" s="312" t="str">
        <f>IF(AND($C44&lt;&gt;"",Fremdsprache!H44&lt;&gt;0),Fremdsprache!H44,"")</f>
        <v/>
      </c>
      <c r="S44" s="314"/>
      <c r="T44" s="186">
        <f>IF($C44&lt;&gt;"",Fremdsprache!J44,"")</f>
        <v>0</v>
      </c>
      <c r="U44" s="314"/>
      <c r="V44" s="315" t="str">
        <f>IF($C44="","",(IF(Fremdsprache!L44="- -","- -",(IF(Fremdsprache!L44="x","x: "&amp;Fremdsprache!P44,(IF(AND(Fremdsprache!L44="frw. ?",Fremdsprache!N44=""),"frw. ?",(IF(AND(Fremdsprache!L44="frw. ?",Fremdsprache!N44="j"),"frw.: "&amp;Fremdsprache!P44,"frw.: n")))))))))</f>
        <v>- -</v>
      </c>
      <c r="W44" s="314"/>
      <c r="X44" s="318" t="str">
        <f>IF(AND($C44&lt;&gt;"",Fremdsprache!Z44&lt;&gt;0),Fremdsprache!Z44,"")</f>
        <v/>
      </c>
      <c r="Y44" s="311"/>
      <c r="Z44" s="312" t="str">
        <f>IF(AND($C44&lt;&gt;"",Mathematik!F44&lt;&gt;0),Mathematik!F44,"")</f>
        <v/>
      </c>
      <c r="AA44" s="313"/>
      <c r="AB44" s="312" t="str">
        <f>IF(AND($C44&lt;&gt;"",Mathematik!H44&lt;&gt;0),Mathematik!H44,"")</f>
        <v/>
      </c>
      <c r="AC44" s="314"/>
      <c r="AD44" s="186">
        <f>IF($C44&lt;&gt;"",Mathematik!J44,"")</f>
        <v>0</v>
      </c>
      <c r="AE44" s="314"/>
      <c r="AF44" s="315" t="str">
        <f>IF($C44="","",(IF(Mathematik!L44="- -","- -",(IF(Mathematik!L44="x","x: "&amp;Mathematik!P44,(IF(AND(Mathematik!L44="frw. ?",Mathematik!N44=""),"frw. ?",(IF(AND(Mathematik!L44="frw. ?",Mathematik!N44="j"),"frw.: "&amp;Mathematik!P44,"frw.: n")))))))))</f>
        <v>- -</v>
      </c>
      <c r="AG44" s="314"/>
      <c r="AH44" s="320" t="str">
        <f>IF(AND($C44&lt;&gt;"",Mathematik!Z44&lt;&gt;0),Mathematik!Z44,"")</f>
        <v/>
      </c>
      <c r="AI44" s="309" t="str">
        <f t="shared" ca="1" si="3"/>
        <v/>
      </c>
      <c r="AJ44" s="310" t="str">
        <f t="shared" si="0"/>
        <v/>
      </c>
      <c r="AK44" s="310" t="str">
        <f t="shared" si="1"/>
        <v/>
      </c>
      <c r="AL44" s="310" t="str">
        <f t="shared" si="2"/>
        <v/>
      </c>
      <c r="AM44" s="154"/>
      <c r="AN44" s="154"/>
      <c r="AO44" s="154"/>
    </row>
    <row r="45" spans="1:41" s="13" customFormat="1" ht="20.100000000000001" customHeight="1" x14ac:dyDescent="0.2">
      <c r="A45" s="167">
        <f t="shared" si="4"/>
        <v>27</v>
      </c>
      <c r="B45" s="168"/>
      <c r="C45" s="170" t="str">
        <f>IF(Vorgaben!C45&lt;&gt;"",Vorgaben!C45,"")</f>
        <v>NN 27</v>
      </c>
      <c r="D45" s="170" t="str">
        <f>IF(Vorgaben!D45&lt;&gt;"",Vorgaben!D45,"")</f>
        <v>VN 27</v>
      </c>
      <c r="E45" s="311"/>
      <c r="F45" s="312" t="str">
        <f>IF(AND($C45&lt;&gt;"",Deutsch!F45&lt;&gt;0),Deutsch!F45,"")</f>
        <v/>
      </c>
      <c r="G45" s="313"/>
      <c r="H45" s="312" t="str">
        <f>IF(AND($C45&lt;&gt;"",Deutsch!H45&lt;&gt;0),Deutsch!H45,"")</f>
        <v/>
      </c>
      <c r="I45" s="314"/>
      <c r="J45" s="186">
        <f>IF($C45&lt;&gt;"",Deutsch!J45,"")</f>
        <v>0</v>
      </c>
      <c r="K45" s="314"/>
      <c r="L45" s="315" t="str">
        <f>IF($C45="","",(IF(Deutsch!L45="- -","- -",(IF(Deutsch!L45="x","x: "&amp;Deutsch!P45,(IF(AND(Deutsch!L45="frw. ?",Deutsch!N45=""),"frw. ?",(IF(AND(Deutsch!L45="frw. ?",Deutsch!N45="j"),"frw.: "&amp;Deutsch!P45,"frw.: n")))))))))</f>
        <v>- -</v>
      </c>
      <c r="M45" s="314"/>
      <c r="N45" s="316" t="str">
        <f>IF(AND($C45&lt;&gt;"",Deutsch!Z45&lt;&gt;0),Deutsch!Z45,"")</f>
        <v/>
      </c>
      <c r="O45" s="317" t="str">
        <f>IF(AND($C45&lt;&gt;"",Fremdsprache!E45&lt;&gt;""),Fremdsprache!E45,"")</f>
        <v/>
      </c>
      <c r="P45" s="312" t="str">
        <f>IF(AND($C45&lt;&gt;"",Fremdsprache!F45&lt;&gt;0),Fremdsprache!F45,"")</f>
        <v/>
      </c>
      <c r="Q45" s="313"/>
      <c r="R45" s="312" t="str">
        <f>IF(AND($C45&lt;&gt;"",Fremdsprache!H45&lt;&gt;0),Fremdsprache!H45,"")</f>
        <v/>
      </c>
      <c r="S45" s="314"/>
      <c r="T45" s="186">
        <f>IF($C45&lt;&gt;"",Fremdsprache!J45,"")</f>
        <v>0</v>
      </c>
      <c r="U45" s="314"/>
      <c r="V45" s="315" t="str">
        <f>IF($C45="","",(IF(Fremdsprache!L45="- -","- -",(IF(Fremdsprache!L45="x","x: "&amp;Fremdsprache!P45,(IF(AND(Fremdsprache!L45="frw. ?",Fremdsprache!N45=""),"frw. ?",(IF(AND(Fremdsprache!L45="frw. ?",Fremdsprache!N45="j"),"frw.: "&amp;Fremdsprache!P45,"frw.: n")))))))))</f>
        <v>- -</v>
      </c>
      <c r="W45" s="314"/>
      <c r="X45" s="318" t="str">
        <f>IF(AND($C45&lt;&gt;"",Fremdsprache!Z45&lt;&gt;0),Fremdsprache!Z45,"")</f>
        <v/>
      </c>
      <c r="Y45" s="311"/>
      <c r="Z45" s="312" t="str">
        <f>IF(AND($C45&lt;&gt;"",Mathematik!F45&lt;&gt;0),Mathematik!F45,"")</f>
        <v/>
      </c>
      <c r="AA45" s="313"/>
      <c r="AB45" s="312" t="str">
        <f>IF(AND($C45&lt;&gt;"",Mathematik!H45&lt;&gt;0),Mathematik!H45,"")</f>
        <v/>
      </c>
      <c r="AC45" s="314"/>
      <c r="AD45" s="186">
        <f>IF($C45&lt;&gt;"",Mathematik!J45,"")</f>
        <v>0</v>
      </c>
      <c r="AE45" s="314"/>
      <c r="AF45" s="315" t="str">
        <f>IF($C45="","",(IF(Mathematik!L45="- -","- -",(IF(Mathematik!L45="x","x: "&amp;Mathematik!P45,(IF(AND(Mathematik!L45="frw. ?",Mathematik!N45=""),"frw. ?",(IF(AND(Mathematik!L45="frw. ?",Mathematik!N45="j"),"frw.: "&amp;Mathematik!P45,"frw.: n")))))))))</f>
        <v>- -</v>
      </c>
      <c r="AG45" s="314"/>
      <c r="AH45" s="320" t="str">
        <f>IF(AND($C45&lt;&gt;"",Mathematik!Z45&lt;&gt;0),Mathematik!Z45,"")</f>
        <v/>
      </c>
      <c r="AI45" s="309" t="str">
        <f t="shared" ca="1" si="3"/>
        <v/>
      </c>
      <c r="AJ45" s="310" t="str">
        <f t="shared" si="0"/>
        <v/>
      </c>
      <c r="AK45" s="310" t="str">
        <f t="shared" si="1"/>
        <v/>
      </c>
      <c r="AL45" s="310" t="str">
        <f t="shared" si="2"/>
        <v/>
      </c>
      <c r="AM45" s="154"/>
      <c r="AN45" s="154"/>
      <c r="AO45" s="154"/>
    </row>
    <row r="46" spans="1:41" s="13" customFormat="1" ht="20.100000000000001" customHeight="1" x14ac:dyDescent="0.2">
      <c r="A46" s="167">
        <f t="shared" si="4"/>
        <v>28</v>
      </c>
      <c r="B46" s="168"/>
      <c r="C46" s="170" t="str">
        <f>IF(Vorgaben!C46&lt;&gt;"",Vorgaben!C46,"")</f>
        <v>NN 28</v>
      </c>
      <c r="D46" s="170" t="str">
        <f>IF(Vorgaben!D46&lt;&gt;"",Vorgaben!D46,"")</f>
        <v>VN 28</v>
      </c>
      <c r="E46" s="321"/>
      <c r="F46" s="312" t="str">
        <f>IF(AND($C46&lt;&gt;"",Deutsch!F46&lt;&gt;0),Deutsch!F46,"")</f>
        <v/>
      </c>
      <c r="G46" s="313"/>
      <c r="H46" s="312" t="str">
        <f>IF(AND($C46&lt;&gt;"",Deutsch!H46&lt;&gt;0),Deutsch!H46,"")</f>
        <v/>
      </c>
      <c r="I46" s="314"/>
      <c r="J46" s="186">
        <f>IF($C46&lt;&gt;"",Deutsch!J46,"")</f>
        <v>0</v>
      </c>
      <c r="K46" s="314"/>
      <c r="L46" s="315" t="str">
        <f>IF($C46="","",(IF(Deutsch!L46="- -","- -",(IF(Deutsch!L46="x","x: "&amp;Deutsch!P46,(IF(AND(Deutsch!L46="frw. ?",Deutsch!N46=""),"frw. ?",(IF(AND(Deutsch!L46="frw. ?",Deutsch!N46="j"),"frw.: "&amp;Deutsch!P46,"frw.: n")))))))))</f>
        <v>- -</v>
      </c>
      <c r="M46" s="314"/>
      <c r="N46" s="316" t="str">
        <f>IF(AND($C46&lt;&gt;"",Deutsch!Z46&lt;&gt;0),Deutsch!Z46,"")</f>
        <v/>
      </c>
      <c r="O46" s="317" t="str">
        <f>IF(AND($C46&lt;&gt;"",Fremdsprache!E46&lt;&gt;""),Fremdsprache!E46,"")</f>
        <v/>
      </c>
      <c r="P46" s="312" t="str">
        <f>IF(AND($C46&lt;&gt;"",Fremdsprache!F46&lt;&gt;0),Fremdsprache!F46,"")</f>
        <v/>
      </c>
      <c r="Q46" s="313"/>
      <c r="R46" s="312" t="str">
        <f>IF(AND($C46&lt;&gt;"",Fremdsprache!H46&lt;&gt;0),Fremdsprache!H46,"")</f>
        <v/>
      </c>
      <c r="S46" s="314"/>
      <c r="T46" s="186">
        <f>IF($C46&lt;&gt;"",Fremdsprache!J46,"")</f>
        <v>0</v>
      </c>
      <c r="U46" s="314"/>
      <c r="V46" s="315" t="str">
        <f>IF($C46="","",(IF(Fremdsprache!L46="- -","- -",(IF(Fremdsprache!L46="x","x: "&amp;Fremdsprache!P46,(IF(AND(Fremdsprache!L46="frw. ?",Fremdsprache!N46=""),"frw. ?",(IF(AND(Fremdsprache!L46="frw. ?",Fremdsprache!N46="j"),"frw.: "&amp;Fremdsprache!P46,"frw.: n")))))))))</f>
        <v>- -</v>
      </c>
      <c r="W46" s="314"/>
      <c r="X46" s="318" t="str">
        <f>IF(AND($C46&lt;&gt;"",Fremdsprache!Z46&lt;&gt;0),Fremdsprache!Z46,"")</f>
        <v/>
      </c>
      <c r="Y46" s="311"/>
      <c r="Z46" s="312" t="str">
        <f>IF(AND($C46&lt;&gt;"",Mathematik!F46&lt;&gt;0),Mathematik!F46,"")</f>
        <v/>
      </c>
      <c r="AA46" s="313"/>
      <c r="AB46" s="312" t="str">
        <f>IF(AND($C46&lt;&gt;"",Mathematik!H46&lt;&gt;0),Mathematik!H46,"")</f>
        <v/>
      </c>
      <c r="AC46" s="314"/>
      <c r="AD46" s="186">
        <f>IF($C46&lt;&gt;"",Mathematik!J46,"")</f>
        <v>0</v>
      </c>
      <c r="AE46" s="314"/>
      <c r="AF46" s="315" t="str">
        <f>IF($C46="","",(IF(Mathematik!L46="- -","- -",(IF(Mathematik!L46="x","x: "&amp;Mathematik!P46,(IF(AND(Mathematik!L46="frw. ?",Mathematik!N46=""),"frw. ?",(IF(AND(Mathematik!L46="frw. ?",Mathematik!N46="j"),"frw.: "&amp;Mathematik!P46,"frw.: n")))))))))</f>
        <v>- -</v>
      </c>
      <c r="AG46" s="322"/>
      <c r="AH46" s="323" t="str">
        <f>IF(AND($C46&lt;&gt;"",Mathematik!Z46&lt;&gt;0),Mathematik!Z46,"")</f>
        <v/>
      </c>
      <c r="AI46" s="309" t="str">
        <f t="shared" ca="1" si="3"/>
        <v/>
      </c>
      <c r="AJ46" s="310" t="str">
        <f t="shared" si="0"/>
        <v/>
      </c>
      <c r="AK46" s="310" t="str">
        <f t="shared" si="1"/>
        <v/>
      </c>
      <c r="AL46" s="310" t="str">
        <f t="shared" si="2"/>
        <v/>
      </c>
      <c r="AM46" s="154"/>
      <c r="AN46" s="154"/>
      <c r="AO46" s="154"/>
    </row>
    <row r="47" spans="1:41" s="13" customFormat="1" ht="20.100000000000001" customHeight="1" x14ac:dyDescent="0.2">
      <c r="A47" s="167">
        <f t="shared" si="4"/>
        <v>29</v>
      </c>
      <c r="B47" s="168"/>
      <c r="C47" s="170" t="str">
        <f>IF(Vorgaben!C47&lt;&gt;"",Vorgaben!C47,"")</f>
        <v>NN 29</v>
      </c>
      <c r="D47" s="170" t="str">
        <f>IF(Vorgaben!D47&lt;&gt;"",Vorgaben!D47,"")</f>
        <v>VN 29</v>
      </c>
      <c r="E47" s="321"/>
      <c r="F47" s="312" t="str">
        <f>IF(AND($C47&lt;&gt;"",Deutsch!F47&lt;&gt;0),Deutsch!F47,"")</f>
        <v/>
      </c>
      <c r="G47" s="313"/>
      <c r="H47" s="312" t="str">
        <f>IF(AND($C47&lt;&gt;"",Deutsch!H47&lt;&gt;0),Deutsch!H47,"")</f>
        <v/>
      </c>
      <c r="I47" s="314"/>
      <c r="J47" s="186">
        <f>IF($C47&lt;&gt;"",Deutsch!J47,"")</f>
        <v>0</v>
      </c>
      <c r="K47" s="314"/>
      <c r="L47" s="315" t="str">
        <f>IF($C47="","",(IF(Deutsch!L47="- -","- -",(IF(Deutsch!L47="x","x: "&amp;Deutsch!P47,(IF(AND(Deutsch!L47="frw. ?",Deutsch!N47=""),"frw. ?",(IF(AND(Deutsch!L47="frw. ?",Deutsch!N47="j"),"frw.: "&amp;Deutsch!P47,"frw.: n")))))))))</f>
        <v>- -</v>
      </c>
      <c r="M47" s="314"/>
      <c r="N47" s="316" t="str">
        <f>IF(AND($C47&lt;&gt;"",Deutsch!Z47&lt;&gt;0),Deutsch!Z47,"")</f>
        <v/>
      </c>
      <c r="O47" s="317" t="str">
        <f>IF(AND($C47&lt;&gt;"",Fremdsprache!E47&lt;&gt;""),Fremdsprache!E47,"")</f>
        <v/>
      </c>
      <c r="P47" s="312" t="str">
        <f>IF(AND($C47&lt;&gt;"",Fremdsprache!F47&lt;&gt;0),Fremdsprache!F47,"")</f>
        <v/>
      </c>
      <c r="Q47" s="313"/>
      <c r="R47" s="312" t="str">
        <f>IF(AND($C47&lt;&gt;"",Fremdsprache!H47&lt;&gt;0),Fremdsprache!H47,"")</f>
        <v/>
      </c>
      <c r="S47" s="314"/>
      <c r="T47" s="186">
        <f>IF($C47&lt;&gt;"",Fremdsprache!J47,"")</f>
        <v>0</v>
      </c>
      <c r="U47" s="314"/>
      <c r="V47" s="315" t="str">
        <f>IF($C47="","",(IF(Fremdsprache!L47="- -","- -",(IF(Fremdsprache!L47="x","x: "&amp;Fremdsprache!P47,(IF(AND(Fremdsprache!L47="frw. ?",Fremdsprache!N47=""),"frw. ?",(IF(AND(Fremdsprache!L47="frw. ?",Fremdsprache!N47="j"),"frw.: "&amp;Fremdsprache!P47,"frw.: n")))))))))</f>
        <v>- -</v>
      </c>
      <c r="W47" s="314"/>
      <c r="X47" s="318" t="str">
        <f>IF(AND($C47&lt;&gt;"",Fremdsprache!Z47&lt;&gt;0),Fremdsprache!Z47,"")</f>
        <v/>
      </c>
      <c r="Y47" s="311"/>
      <c r="Z47" s="312" t="str">
        <f>IF(AND($C47&lt;&gt;"",Mathematik!F47&lt;&gt;0),Mathematik!F47,"")</f>
        <v/>
      </c>
      <c r="AA47" s="313"/>
      <c r="AB47" s="312" t="str">
        <f>IF(AND($C47&lt;&gt;"",Mathematik!H47&lt;&gt;0),Mathematik!H47,"")</f>
        <v/>
      </c>
      <c r="AC47" s="314"/>
      <c r="AD47" s="186">
        <f>IF($C47&lt;&gt;"",Mathematik!J47,"")</f>
        <v>0</v>
      </c>
      <c r="AE47" s="314"/>
      <c r="AF47" s="315" t="str">
        <f>IF($C47="","",(IF(Mathematik!L47="- -","- -",(IF(Mathematik!L47="x","x: "&amp;Mathematik!P47,(IF(AND(Mathematik!L47="frw. ?",Mathematik!N47=""),"frw. ?",(IF(AND(Mathematik!L47="frw. ?",Mathematik!N47="j"),"frw.: "&amp;Mathematik!P47,"frw.: n")))))))))</f>
        <v>- -</v>
      </c>
      <c r="AG47" s="322"/>
      <c r="AH47" s="323" t="str">
        <f>IF(AND($C47&lt;&gt;"",Mathematik!Z47&lt;&gt;0),Mathematik!Z47,"")</f>
        <v/>
      </c>
      <c r="AI47" s="309" t="str">
        <f t="shared" ca="1" si="3"/>
        <v/>
      </c>
      <c r="AJ47" s="310" t="str">
        <f t="shared" si="0"/>
        <v/>
      </c>
      <c r="AK47" s="310" t="str">
        <f t="shared" si="1"/>
        <v/>
      </c>
      <c r="AL47" s="310" t="str">
        <f t="shared" si="2"/>
        <v/>
      </c>
      <c r="AM47" s="154"/>
      <c r="AN47" s="154"/>
      <c r="AO47" s="154"/>
    </row>
    <row r="48" spans="1:41" s="13" customFormat="1" ht="20.100000000000001" customHeight="1" x14ac:dyDescent="0.2">
      <c r="A48" s="167">
        <f t="shared" si="4"/>
        <v>30</v>
      </c>
      <c r="B48" s="168"/>
      <c r="C48" s="170" t="str">
        <f>IF(Vorgaben!C48&lt;&gt;"",Vorgaben!C48,"")</f>
        <v>NN 30</v>
      </c>
      <c r="D48" s="170" t="str">
        <f>IF(Vorgaben!D48&lt;&gt;"",Vorgaben!D48,"")</f>
        <v>VN 30</v>
      </c>
      <c r="E48" s="321"/>
      <c r="F48" s="312" t="str">
        <f>IF(AND($C48&lt;&gt;"",Deutsch!F48&lt;&gt;0),Deutsch!F48,"")</f>
        <v/>
      </c>
      <c r="G48" s="313"/>
      <c r="H48" s="312" t="str">
        <f>IF(AND($C48&lt;&gt;"",Deutsch!H48&lt;&gt;0),Deutsch!H48,"")</f>
        <v/>
      </c>
      <c r="I48" s="314"/>
      <c r="J48" s="186">
        <f>IF($C48&lt;&gt;"",Deutsch!J48,"")</f>
        <v>0</v>
      </c>
      <c r="K48" s="314"/>
      <c r="L48" s="315" t="str">
        <f>IF($C48="","",(IF(Deutsch!L48="- -","- -",(IF(Deutsch!L48="x","x: "&amp;Deutsch!P48,(IF(AND(Deutsch!L48="frw. ?",Deutsch!N48=""),"frw. ?",(IF(AND(Deutsch!L48="frw. ?",Deutsch!N48="j"),"frw.: "&amp;Deutsch!P48,"frw.: n")))))))))</f>
        <v>- -</v>
      </c>
      <c r="M48" s="314"/>
      <c r="N48" s="316" t="str">
        <f>IF(AND($C48&lt;&gt;"",Deutsch!Z48&lt;&gt;0),Deutsch!Z48,"")</f>
        <v/>
      </c>
      <c r="O48" s="317" t="str">
        <f>IF(AND($C48&lt;&gt;"",Fremdsprache!E48&lt;&gt;""),Fremdsprache!E48,"")</f>
        <v/>
      </c>
      <c r="P48" s="312" t="str">
        <f>IF(AND($C48&lt;&gt;"",Fremdsprache!F48&lt;&gt;0),Fremdsprache!F48,"")</f>
        <v/>
      </c>
      <c r="Q48" s="313"/>
      <c r="R48" s="312" t="str">
        <f>IF(AND($C48&lt;&gt;"",Fremdsprache!H48&lt;&gt;0),Fremdsprache!H48,"")</f>
        <v/>
      </c>
      <c r="S48" s="314"/>
      <c r="T48" s="186">
        <f>IF($C48&lt;&gt;"",Fremdsprache!J48,"")</f>
        <v>0</v>
      </c>
      <c r="U48" s="314"/>
      <c r="V48" s="315" t="str">
        <f>IF($C48="","",(IF(Fremdsprache!L48="- -","- -",(IF(Fremdsprache!L48="x","x: "&amp;Fremdsprache!P48,(IF(AND(Fremdsprache!L48="frw. ?",Fremdsprache!N48=""),"frw. ?",(IF(AND(Fremdsprache!L48="frw. ?",Fremdsprache!N48="j"),"frw.: "&amp;Fremdsprache!P48,"frw.: n")))))))))</f>
        <v>- -</v>
      </c>
      <c r="W48" s="314"/>
      <c r="X48" s="318" t="str">
        <f>IF(AND($C48&lt;&gt;"",Fremdsprache!Z48&lt;&gt;0),Fremdsprache!Z48,"")</f>
        <v/>
      </c>
      <c r="Y48" s="311"/>
      <c r="Z48" s="312" t="str">
        <f>IF(AND($C48&lt;&gt;"",Mathematik!F48&lt;&gt;0),Mathematik!F48,"")</f>
        <v/>
      </c>
      <c r="AA48" s="313"/>
      <c r="AB48" s="312" t="str">
        <f>IF(AND($C48&lt;&gt;"",Mathematik!H48&lt;&gt;0),Mathematik!H48,"")</f>
        <v/>
      </c>
      <c r="AC48" s="314"/>
      <c r="AD48" s="186">
        <f>IF($C48&lt;&gt;"",Mathematik!J48,"")</f>
        <v>0</v>
      </c>
      <c r="AE48" s="314"/>
      <c r="AF48" s="315" t="str">
        <f>IF($C48="","",(IF(Mathematik!L48="- -","- -",(IF(Mathematik!L48="x","x: "&amp;Mathematik!P48,(IF(AND(Mathematik!L48="frw. ?",Mathematik!N48=""),"frw. ?",(IF(AND(Mathematik!L48="frw. ?",Mathematik!N48="j"),"frw.: "&amp;Mathematik!P48,"frw.: n")))))))))</f>
        <v>- -</v>
      </c>
      <c r="AG48" s="322"/>
      <c r="AH48" s="323" t="str">
        <f>IF(AND($C48&lt;&gt;"",Mathematik!Z48&lt;&gt;0),Mathematik!Z48,"")</f>
        <v/>
      </c>
      <c r="AI48" s="309" t="str">
        <f t="shared" ca="1" si="3"/>
        <v/>
      </c>
      <c r="AJ48" s="310" t="str">
        <f t="shared" si="0"/>
        <v/>
      </c>
      <c r="AK48" s="310" t="str">
        <f t="shared" si="1"/>
        <v/>
      </c>
      <c r="AL48" s="310" t="str">
        <f t="shared" si="2"/>
        <v/>
      </c>
      <c r="AM48" s="154"/>
      <c r="AN48" s="154"/>
      <c r="AO48" s="154"/>
    </row>
    <row r="49" spans="1:41" s="13" customFormat="1" ht="20.100000000000001" customHeight="1" x14ac:dyDescent="0.2">
      <c r="A49" s="167">
        <f t="shared" si="4"/>
        <v>31</v>
      </c>
      <c r="B49" s="168"/>
      <c r="C49" s="170" t="str">
        <f>IF(Vorgaben!C49&lt;&gt;"",Vorgaben!C49,"")</f>
        <v>NN 31</v>
      </c>
      <c r="D49" s="170" t="str">
        <f>IF(Vorgaben!D49&lt;&gt;"",Vorgaben!D49,"")</f>
        <v>VN 31</v>
      </c>
      <c r="E49" s="321"/>
      <c r="F49" s="312" t="str">
        <f>IF(AND($C49&lt;&gt;"",Deutsch!F49&lt;&gt;0),Deutsch!F49,"")</f>
        <v/>
      </c>
      <c r="G49" s="313"/>
      <c r="H49" s="312" t="str">
        <f>IF(AND($C49&lt;&gt;"",Deutsch!H49&lt;&gt;0),Deutsch!H49,"")</f>
        <v/>
      </c>
      <c r="I49" s="314"/>
      <c r="J49" s="186">
        <f>IF($C49&lt;&gt;"",Deutsch!J49,"")</f>
        <v>0</v>
      </c>
      <c r="K49" s="314"/>
      <c r="L49" s="315" t="str">
        <f>IF($C49="","",(IF(Deutsch!L49="- -","- -",(IF(Deutsch!L49="x","x: "&amp;Deutsch!P49,(IF(AND(Deutsch!L49="frw. ?",Deutsch!N49=""),"frw. ?",(IF(AND(Deutsch!L49="frw. ?",Deutsch!N49="j"),"frw.: "&amp;Deutsch!P49,"frw.: n")))))))))</f>
        <v>- -</v>
      </c>
      <c r="M49" s="314"/>
      <c r="N49" s="316" t="str">
        <f>IF(AND($C49&lt;&gt;"",Deutsch!Z49&lt;&gt;0),Deutsch!Z49,"")</f>
        <v/>
      </c>
      <c r="O49" s="317" t="str">
        <f>IF(AND($C49&lt;&gt;"",Fremdsprache!E49&lt;&gt;""),Fremdsprache!E49,"")</f>
        <v/>
      </c>
      <c r="P49" s="312" t="str">
        <f>IF(AND($C49&lt;&gt;"",Fremdsprache!F49&lt;&gt;0),Fremdsprache!F49,"")</f>
        <v/>
      </c>
      <c r="Q49" s="313"/>
      <c r="R49" s="312" t="str">
        <f>IF(AND($C49&lt;&gt;"",Fremdsprache!H49&lt;&gt;0),Fremdsprache!H49,"")</f>
        <v/>
      </c>
      <c r="S49" s="314"/>
      <c r="T49" s="186">
        <f>IF($C49&lt;&gt;"",Fremdsprache!J49,"")</f>
        <v>0</v>
      </c>
      <c r="U49" s="314"/>
      <c r="V49" s="315" t="str">
        <f>IF($C49="","",(IF(Fremdsprache!L49="- -","- -",(IF(Fremdsprache!L49="x","x: "&amp;Fremdsprache!P49,(IF(AND(Fremdsprache!L49="frw. ?",Fremdsprache!N49=""),"frw. ?",(IF(AND(Fremdsprache!L49="frw. ?",Fremdsprache!N49="j"),"frw.: "&amp;Fremdsprache!P49,"frw.: n")))))))))</f>
        <v>- -</v>
      </c>
      <c r="W49" s="314"/>
      <c r="X49" s="318" t="str">
        <f>IF(AND($C49&lt;&gt;"",Fremdsprache!Z49&lt;&gt;0),Fremdsprache!Z49,"")</f>
        <v/>
      </c>
      <c r="Y49" s="311"/>
      <c r="Z49" s="312" t="str">
        <f>IF(AND($C49&lt;&gt;"",Mathematik!F49&lt;&gt;0),Mathematik!F49,"")</f>
        <v/>
      </c>
      <c r="AA49" s="313"/>
      <c r="AB49" s="312" t="str">
        <f>IF(AND($C49&lt;&gt;"",Mathematik!H49&lt;&gt;0),Mathematik!H49,"")</f>
        <v/>
      </c>
      <c r="AC49" s="314"/>
      <c r="AD49" s="186">
        <f>IF($C49&lt;&gt;"",Mathematik!J49,"")</f>
        <v>0</v>
      </c>
      <c r="AE49" s="314"/>
      <c r="AF49" s="315" t="str">
        <f>IF($C49="","",(IF(Mathematik!L49="- -","- -",(IF(Mathematik!L49="x","x: "&amp;Mathematik!P49,(IF(AND(Mathematik!L49="frw. ?",Mathematik!N49=""),"frw. ?",(IF(AND(Mathematik!L49="frw. ?",Mathematik!N49="j"),"frw.: "&amp;Mathematik!P49,"frw.: n")))))))))</f>
        <v>- -</v>
      </c>
      <c r="AG49" s="322"/>
      <c r="AH49" s="323" t="str">
        <f>IF(AND($C49&lt;&gt;"",Mathematik!Z49&lt;&gt;0),Mathematik!Z49,"")</f>
        <v/>
      </c>
      <c r="AI49" s="309" t="str">
        <f t="shared" ca="1" si="3"/>
        <v/>
      </c>
      <c r="AJ49" s="310" t="str">
        <f t="shared" si="0"/>
        <v/>
      </c>
      <c r="AK49" s="310" t="str">
        <f t="shared" si="1"/>
        <v/>
      </c>
      <c r="AL49" s="310" t="str">
        <f t="shared" si="2"/>
        <v/>
      </c>
      <c r="AM49" s="154"/>
      <c r="AN49" s="154"/>
      <c r="AO49" s="154"/>
    </row>
    <row r="50" spans="1:41" s="13" customFormat="1" ht="20.100000000000001" customHeight="1" x14ac:dyDescent="0.2">
      <c r="A50" s="167">
        <f t="shared" si="4"/>
        <v>32</v>
      </c>
      <c r="B50" s="168"/>
      <c r="C50" s="170" t="str">
        <f>IF(Vorgaben!C50&lt;&gt;"",Vorgaben!C50,"")</f>
        <v>NN 32</v>
      </c>
      <c r="D50" s="170" t="str">
        <f>IF(Vorgaben!D50&lt;&gt;"",Vorgaben!D50,"")</f>
        <v>VN 32</v>
      </c>
      <c r="E50" s="321"/>
      <c r="F50" s="312" t="str">
        <f>IF(AND($C50&lt;&gt;"",Deutsch!F50&lt;&gt;0),Deutsch!F50,"")</f>
        <v/>
      </c>
      <c r="G50" s="313"/>
      <c r="H50" s="312" t="str">
        <f>IF(AND($C50&lt;&gt;"",Deutsch!H50&lt;&gt;0),Deutsch!H50,"")</f>
        <v/>
      </c>
      <c r="I50" s="314"/>
      <c r="J50" s="186">
        <f>IF($C50&lt;&gt;"",Deutsch!J50,"")</f>
        <v>0</v>
      </c>
      <c r="K50" s="314"/>
      <c r="L50" s="315" t="str">
        <f>IF($C50="","",(IF(Deutsch!L50="- -","- -",(IF(Deutsch!L50="x","x: "&amp;Deutsch!P50,(IF(AND(Deutsch!L50="frw. ?",Deutsch!N50=""),"frw. ?",(IF(AND(Deutsch!L50="frw. ?",Deutsch!N50="j"),"frw.: "&amp;Deutsch!P50,"frw.: n")))))))))</f>
        <v>- -</v>
      </c>
      <c r="M50" s="314"/>
      <c r="N50" s="316" t="str">
        <f>IF(AND($C50&lt;&gt;"",Deutsch!Z50&lt;&gt;0),Deutsch!Z50,"")</f>
        <v/>
      </c>
      <c r="O50" s="317" t="str">
        <f>IF(AND($C50&lt;&gt;"",Fremdsprache!E50&lt;&gt;""),Fremdsprache!E50,"")</f>
        <v/>
      </c>
      <c r="P50" s="312" t="str">
        <f>IF(AND($C50&lt;&gt;"",Fremdsprache!F50&lt;&gt;0),Fremdsprache!F50,"")</f>
        <v/>
      </c>
      <c r="Q50" s="313"/>
      <c r="R50" s="312" t="str">
        <f>IF(AND($C50&lt;&gt;"",Fremdsprache!H50&lt;&gt;0),Fremdsprache!H50,"")</f>
        <v/>
      </c>
      <c r="S50" s="314"/>
      <c r="T50" s="186">
        <f>IF($C50&lt;&gt;"",Fremdsprache!J50,"")</f>
        <v>0</v>
      </c>
      <c r="U50" s="314"/>
      <c r="V50" s="315" t="str">
        <f>IF($C50="","",(IF(Fremdsprache!L50="- -","- -",(IF(Fremdsprache!L50="x","x: "&amp;Fremdsprache!P50,(IF(AND(Fremdsprache!L50="frw. ?",Fremdsprache!N50=""),"frw. ?",(IF(AND(Fremdsprache!L50="frw. ?",Fremdsprache!N50="j"),"frw.: "&amp;Fremdsprache!P50,"frw.: n")))))))))</f>
        <v>- -</v>
      </c>
      <c r="W50" s="314"/>
      <c r="X50" s="318" t="str">
        <f>IF(AND($C50&lt;&gt;"",Fremdsprache!Z50&lt;&gt;0),Fremdsprache!Z50,"")</f>
        <v/>
      </c>
      <c r="Y50" s="311"/>
      <c r="Z50" s="312" t="str">
        <f>IF(AND($C50&lt;&gt;"",Mathematik!F50&lt;&gt;0),Mathematik!F50,"")</f>
        <v/>
      </c>
      <c r="AA50" s="313"/>
      <c r="AB50" s="312" t="str">
        <f>IF(AND($C50&lt;&gt;"",Mathematik!H50&lt;&gt;0),Mathematik!H50,"")</f>
        <v/>
      </c>
      <c r="AC50" s="314"/>
      <c r="AD50" s="186">
        <f>IF($C50&lt;&gt;"",Mathematik!J50,"")</f>
        <v>0</v>
      </c>
      <c r="AE50" s="314"/>
      <c r="AF50" s="315" t="str">
        <f>IF($C50="","",(IF(Mathematik!L50="- -","- -",(IF(Mathematik!L50="x","x: "&amp;Mathematik!P50,(IF(AND(Mathematik!L50="frw. ?",Mathematik!N50=""),"frw. ?",(IF(AND(Mathematik!L50="frw. ?",Mathematik!N50="j"),"frw.: "&amp;Mathematik!P50,"frw.: n")))))))))</f>
        <v>- -</v>
      </c>
      <c r="AG50" s="322"/>
      <c r="AH50" s="323" t="str">
        <f>IF(AND($C50&lt;&gt;"",Mathematik!Z50&lt;&gt;0),Mathematik!Z50,"")</f>
        <v/>
      </c>
      <c r="AI50" s="309" t="str">
        <f t="shared" ca="1" si="3"/>
        <v/>
      </c>
      <c r="AJ50" s="310" t="str">
        <f t="shared" si="0"/>
        <v/>
      </c>
      <c r="AK50" s="310" t="str">
        <f t="shared" si="1"/>
        <v/>
      </c>
      <c r="AL50" s="310" t="str">
        <f t="shared" si="2"/>
        <v/>
      </c>
      <c r="AM50" s="154"/>
      <c r="AN50" s="154"/>
      <c r="AO50" s="154"/>
    </row>
    <row r="51" spans="1:41" s="13" customFormat="1" ht="20.100000000000001" customHeight="1" x14ac:dyDescent="0.2">
      <c r="A51" s="167">
        <f t="shared" si="4"/>
        <v>33</v>
      </c>
      <c r="B51" s="168"/>
      <c r="C51" s="170" t="str">
        <f>IF(Vorgaben!C51&lt;&gt;"",Vorgaben!C51,"")</f>
        <v>NN 33</v>
      </c>
      <c r="D51" s="170" t="str">
        <f>IF(Vorgaben!D51&lt;&gt;"",Vorgaben!D51,"")</f>
        <v>VN 33</v>
      </c>
      <c r="E51" s="321"/>
      <c r="F51" s="312" t="str">
        <f>IF(AND($C51&lt;&gt;"",Deutsch!F51&lt;&gt;0),Deutsch!F51,"")</f>
        <v/>
      </c>
      <c r="G51" s="313"/>
      <c r="H51" s="312" t="str">
        <f>IF(AND($C51&lt;&gt;"",Deutsch!H51&lt;&gt;0),Deutsch!H51,"")</f>
        <v/>
      </c>
      <c r="I51" s="314"/>
      <c r="J51" s="186">
        <f>IF($C51&lt;&gt;"",Deutsch!J51,"")</f>
        <v>0</v>
      </c>
      <c r="K51" s="314"/>
      <c r="L51" s="315" t="str">
        <f>IF($C51="","",(IF(Deutsch!L51="- -","- -",(IF(Deutsch!L51="x","x: "&amp;Deutsch!P51,(IF(AND(Deutsch!L51="frw. ?",Deutsch!N51=""),"frw. ?",(IF(AND(Deutsch!L51="frw. ?",Deutsch!N51="j"),"frw.: "&amp;Deutsch!P51,"frw.: n")))))))))</f>
        <v>- -</v>
      </c>
      <c r="M51" s="314"/>
      <c r="N51" s="316" t="str">
        <f>IF(AND($C51&lt;&gt;"",Deutsch!Z51&lt;&gt;0),Deutsch!Z51,"")</f>
        <v/>
      </c>
      <c r="O51" s="317" t="str">
        <f>IF(AND($C51&lt;&gt;"",Fremdsprache!E51&lt;&gt;""),Fremdsprache!E51,"")</f>
        <v/>
      </c>
      <c r="P51" s="312" t="str">
        <f>IF(AND($C51&lt;&gt;"",Fremdsprache!F51&lt;&gt;0),Fremdsprache!F51,"")</f>
        <v/>
      </c>
      <c r="Q51" s="313"/>
      <c r="R51" s="312" t="str">
        <f>IF(AND($C51&lt;&gt;"",Fremdsprache!H51&lt;&gt;0),Fremdsprache!H51,"")</f>
        <v/>
      </c>
      <c r="S51" s="314"/>
      <c r="T51" s="186">
        <f>IF($C51&lt;&gt;"",Fremdsprache!J51,"")</f>
        <v>0</v>
      </c>
      <c r="U51" s="314"/>
      <c r="V51" s="315" t="str">
        <f>IF($C51="","",(IF(Fremdsprache!L51="- -","- -",(IF(Fremdsprache!L51="x","x: "&amp;Fremdsprache!P51,(IF(AND(Fremdsprache!L51="frw. ?",Fremdsprache!N51=""),"frw. ?",(IF(AND(Fremdsprache!L51="frw. ?",Fremdsprache!N51="j"),"frw.: "&amp;Fremdsprache!P51,"frw.: n")))))))))</f>
        <v>- -</v>
      </c>
      <c r="W51" s="314"/>
      <c r="X51" s="318" t="str">
        <f>IF(AND($C51&lt;&gt;"",Fremdsprache!Z51&lt;&gt;0),Fremdsprache!Z51,"")</f>
        <v/>
      </c>
      <c r="Y51" s="311"/>
      <c r="Z51" s="312" t="str">
        <f>IF(AND($C51&lt;&gt;"",Mathematik!F51&lt;&gt;0),Mathematik!F51,"")</f>
        <v/>
      </c>
      <c r="AA51" s="313"/>
      <c r="AB51" s="312" t="str">
        <f>IF(AND($C51&lt;&gt;"",Mathematik!H51&lt;&gt;0),Mathematik!H51,"")</f>
        <v/>
      </c>
      <c r="AC51" s="314"/>
      <c r="AD51" s="186">
        <f>IF($C51&lt;&gt;"",Mathematik!J51,"")</f>
        <v>0</v>
      </c>
      <c r="AE51" s="314"/>
      <c r="AF51" s="315" t="str">
        <f>IF($C51="","",(IF(Mathematik!L51="- -","- -",(IF(Mathematik!L51="x","x: "&amp;Mathematik!P51,(IF(AND(Mathematik!L51="frw. ?",Mathematik!N51=""),"frw. ?",(IF(AND(Mathematik!L51="frw. ?",Mathematik!N51="j"),"frw.: "&amp;Mathematik!P51,"frw.: n")))))))))</f>
        <v>- -</v>
      </c>
      <c r="AG51" s="322"/>
      <c r="AH51" s="323" t="str">
        <f>IF(AND($C51&lt;&gt;"",Mathematik!Z51&lt;&gt;0),Mathematik!Z51,"")</f>
        <v/>
      </c>
      <c r="AI51" s="309" t="str">
        <f t="shared" ca="1" si="3"/>
        <v/>
      </c>
      <c r="AJ51" s="310" t="str">
        <f t="shared" si="0"/>
        <v/>
      </c>
      <c r="AK51" s="310" t="str">
        <f t="shared" si="1"/>
        <v/>
      </c>
      <c r="AL51" s="310" t="str">
        <f t="shared" si="2"/>
        <v/>
      </c>
      <c r="AM51" s="154"/>
      <c r="AN51" s="154"/>
      <c r="AO51" s="154"/>
    </row>
    <row r="52" spans="1:41" s="13" customFormat="1" ht="20.100000000000001" customHeight="1" x14ac:dyDescent="0.2">
      <c r="A52" s="167">
        <f t="shared" si="4"/>
        <v>34</v>
      </c>
      <c r="B52" s="168"/>
      <c r="C52" s="170" t="str">
        <f>IF(Vorgaben!C52&lt;&gt;"",Vorgaben!C52,"")</f>
        <v>NN 34</v>
      </c>
      <c r="D52" s="170" t="str">
        <f>IF(Vorgaben!D52&lt;&gt;"",Vorgaben!D52,"")</f>
        <v>VN 34</v>
      </c>
      <c r="E52" s="321"/>
      <c r="F52" s="312" t="str">
        <f>IF(AND($C52&lt;&gt;"",Deutsch!F52&lt;&gt;0),Deutsch!F52,"")</f>
        <v/>
      </c>
      <c r="G52" s="313"/>
      <c r="H52" s="312" t="str">
        <f>IF(AND($C52&lt;&gt;"",Deutsch!H52&lt;&gt;0),Deutsch!H52,"")</f>
        <v/>
      </c>
      <c r="I52" s="314"/>
      <c r="J52" s="186">
        <f>IF($C52&lt;&gt;"",Deutsch!J52,"")</f>
        <v>0</v>
      </c>
      <c r="K52" s="314"/>
      <c r="L52" s="315" t="str">
        <f>IF($C52="","",(IF(Deutsch!L52="- -","- -",(IF(Deutsch!L52="x","x: "&amp;Deutsch!P52,(IF(AND(Deutsch!L52="frw. ?",Deutsch!N52=""),"frw. ?",(IF(AND(Deutsch!L52="frw. ?",Deutsch!N52="j"),"frw.: "&amp;Deutsch!P52,"frw.: n")))))))))</f>
        <v>- -</v>
      </c>
      <c r="M52" s="314"/>
      <c r="N52" s="316" t="str">
        <f>IF(AND($C52&lt;&gt;"",Deutsch!Z52&lt;&gt;0),Deutsch!Z52,"")</f>
        <v/>
      </c>
      <c r="O52" s="317" t="str">
        <f>IF(AND($C52&lt;&gt;"",Fremdsprache!E52&lt;&gt;""),Fremdsprache!E52,"")</f>
        <v/>
      </c>
      <c r="P52" s="312" t="str">
        <f>IF(AND($C52&lt;&gt;"",Fremdsprache!F52&lt;&gt;0),Fremdsprache!F52,"")</f>
        <v/>
      </c>
      <c r="Q52" s="313"/>
      <c r="R52" s="312" t="str">
        <f>IF(AND($C52&lt;&gt;"",Fremdsprache!H52&lt;&gt;0),Fremdsprache!H52,"")</f>
        <v/>
      </c>
      <c r="S52" s="314"/>
      <c r="T52" s="186">
        <f>IF($C52&lt;&gt;"",Fremdsprache!J52,"")</f>
        <v>0</v>
      </c>
      <c r="U52" s="314"/>
      <c r="V52" s="315" t="str">
        <f>IF($C52="","",(IF(Fremdsprache!L52="- -","- -",(IF(Fremdsprache!L52="x","x: "&amp;Fremdsprache!P52,(IF(AND(Fremdsprache!L52="frw. ?",Fremdsprache!N52=""),"frw. ?",(IF(AND(Fremdsprache!L52="frw. ?",Fremdsprache!N52="j"),"frw.: "&amp;Fremdsprache!P52,"frw.: n")))))))))</f>
        <v>- -</v>
      </c>
      <c r="W52" s="314"/>
      <c r="X52" s="318" t="str">
        <f>IF(AND($C52&lt;&gt;"",Fremdsprache!Z52&lt;&gt;0),Fremdsprache!Z52,"")</f>
        <v/>
      </c>
      <c r="Y52" s="311"/>
      <c r="Z52" s="312" t="str">
        <f>IF(AND($C52&lt;&gt;"",Mathematik!F52&lt;&gt;0),Mathematik!F52,"")</f>
        <v/>
      </c>
      <c r="AA52" s="313"/>
      <c r="AB52" s="312" t="str">
        <f>IF(AND($C52&lt;&gt;"",Mathematik!H52&lt;&gt;0),Mathematik!H52,"")</f>
        <v/>
      </c>
      <c r="AC52" s="314"/>
      <c r="AD52" s="186">
        <f>IF($C52&lt;&gt;"",Mathematik!J52,"")</f>
        <v>0</v>
      </c>
      <c r="AE52" s="314"/>
      <c r="AF52" s="315" t="str">
        <f>IF($C52="","",(IF(Mathematik!L52="- -","- -",(IF(Mathematik!L52="x","x: "&amp;Mathematik!P52,(IF(AND(Mathematik!L52="frw. ?",Mathematik!N52=""),"frw. ?",(IF(AND(Mathematik!L52="frw. ?",Mathematik!N52="j"),"frw.: "&amp;Mathematik!P52,"frw.: n")))))))))</f>
        <v>- -</v>
      </c>
      <c r="AG52" s="322"/>
      <c r="AH52" s="323" t="str">
        <f>IF(AND($C52&lt;&gt;"",Mathematik!Z52&lt;&gt;0),Mathematik!Z52,"")</f>
        <v/>
      </c>
      <c r="AI52" s="309" t="str">
        <f t="shared" ca="1" si="3"/>
        <v/>
      </c>
      <c r="AJ52" s="310" t="str">
        <f t="shared" si="0"/>
        <v/>
      </c>
      <c r="AK52" s="310" t="str">
        <f t="shared" si="1"/>
        <v/>
      </c>
      <c r="AL52" s="310" t="str">
        <f t="shared" si="2"/>
        <v/>
      </c>
      <c r="AM52" s="154"/>
      <c r="AN52" s="154"/>
      <c r="AO52" s="154"/>
    </row>
    <row r="53" spans="1:41" s="13" customFormat="1" ht="20.100000000000001" customHeight="1" x14ac:dyDescent="0.2">
      <c r="A53" s="167">
        <f t="shared" si="4"/>
        <v>35</v>
      </c>
      <c r="B53" s="168"/>
      <c r="C53" s="170" t="str">
        <f>IF(Vorgaben!C53&lt;&gt;"",Vorgaben!C53,"")</f>
        <v>NN 35</v>
      </c>
      <c r="D53" s="170" t="str">
        <f>IF(Vorgaben!D53&lt;&gt;"",Vorgaben!D53,"")</f>
        <v>VN 35</v>
      </c>
      <c r="E53" s="321"/>
      <c r="F53" s="312" t="str">
        <f>IF(AND($C53&lt;&gt;"",Deutsch!F53&lt;&gt;0),Deutsch!F53,"")</f>
        <v/>
      </c>
      <c r="G53" s="313"/>
      <c r="H53" s="312" t="str">
        <f>IF(AND($C53&lt;&gt;"",Deutsch!H53&lt;&gt;0),Deutsch!H53,"")</f>
        <v/>
      </c>
      <c r="I53" s="314"/>
      <c r="J53" s="186">
        <f>IF($C53&lt;&gt;"",Deutsch!J53,"")</f>
        <v>0</v>
      </c>
      <c r="K53" s="314"/>
      <c r="L53" s="315" t="str">
        <f>IF($C53="","",(IF(Deutsch!L53="- -","- -",(IF(Deutsch!L53="x","x: "&amp;Deutsch!P53,(IF(AND(Deutsch!L53="frw. ?",Deutsch!N53=""),"frw. ?",(IF(AND(Deutsch!L53="frw. ?",Deutsch!N53="j"),"frw.: "&amp;Deutsch!P53,"frw.: n")))))))))</f>
        <v>- -</v>
      </c>
      <c r="M53" s="314"/>
      <c r="N53" s="316" t="str">
        <f>IF(AND($C53&lt;&gt;"",Deutsch!Z53&lt;&gt;0),Deutsch!Z53,"")</f>
        <v/>
      </c>
      <c r="O53" s="317" t="str">
        <f>IF(AND($C53&lt;&gt;"",Fremdsprache!E53&lt;&gt;""),Fremdsprache!E53,"")</f>
        <v/>
      </c>
      <c r="P53" s="312" t="str">
        <f>IF(AND($C53&lt;&gt;"",Fremdsprache!F53&lt;&gt;0),Fremdsprache!F53,"")</f>
        <v/>
      </c>
      <c r="Q53" s="313"/>
      <c r="R53" s="312" t="str">
        <f>IF(AND($C53&lt;&gt;"",Fremdsprache!H53&lt;&gt;0),Fremdsprache!H53,"")</f>
        <v/>
      </c>
      <c r="S53" s="314"/>
      <c r="T53" s="186">
        <f>IF($C53&lt;&gt;"",Fremdsprache!J53,"")</f>
        <v>0</v>
      </c>
      <c r="U53" s="314"/>
      <c r="V53" s="315" t="str">
        <f>IF($C53="","",(IF(Fremdsprache!L53="- -","- -",(IF(Fremdsprache!L53="x","x: "&amp;Fremdsprache!P53,(IF(AND(Fremdsprache!L53="frw. ?",Fremdsprache!N53=""),"frw. ?",(IF(AND(Fremdsprache!L53="frw. ?",Fremdsprache!N53="j"),"frw.: "&amp;Fremdsprache!P53,"frw.: n")))))))))</f>
        <v>- -</v>
      </c>
      <c r="W53" s="314"/>
      <c r="X53" s="318" t="str">
        <f>IF(AND($C53&lt;&gt;"",Fremdsprache!Z53&lt;&gt;0),Fremdsprache!Z53,"")</f>
        <v/>
      </c>
      <c r="Y53" s="311"/>
      <c r="Z53" s="312" t="str">
        <f>IF(AND($C53&lt;&gt;"",Mathematik!F53&lt;&gt;0),Mathematik!F53,"")</f>
        <v/>
      </c>
      <c r="AA53" s="313"/>
      <c r="AB53" s="312" t="str">
        <f>IF(AND($C53&lt;&gt;"",Mathematik!H53&lt;&gt;0),Mathematik!H53,"")</f>
        <v/>
      </c>
      <c r="AC53" s="314"/>
      <c r="AD53" s="186">
        <f>IF($C53&lt;&gt;"",Mathematik!J53,"")</f>
        <v>0</v>
      </c>
      <c r="AE53" s="314"/>
      <c r="AF53" s="315" t="str">
        <f>IF($C53="","",(IF(Mathematik!L53="- -","- -",(IF(Mathematik!L53="x","x: "&amp;Mathematik!P53,(IF(AND(Mathematik!L53="frw. ?",Mathematik!N53=""),"frw. ?",(IF(AND(Mathematik!L53="frw. ?",Mathematik!N53="j"),"frw.: "&amp;Mathematik!P53,"frw.: n")))))))))</f>
        <v>- -</v>
      </c>
      <c r="AG53" s="322"/>
      <c r="AH53" s="323" t="str">
        <f>IF(AND($C53&lt;&gt;"",Mathematik!Z53&lt;&gt;0),Mathematik!Z53,"")</f>
        <v/>
      </c>
      <c r="AI53" s="309" t="str">
        <f t="shared" ca="1" si="3"/>
        <v/>
      </c>
      <c r="AJ53" s="310" t="str">
        <f t="shared" si="0"/>
        <v/>
      </c>
      <c r="AK53" s="310" t="str">
        <f t="shared" si="1"/>
        <v/>
      </c>
      <c r="AL53" s="310" t="str">
        <f t="shared" si="2"/>
        <v/>
      </c>
      <c r="AM53" s="154"/>
      <c r="AN53" s="154"/>
      <c r="AO53" s="154"/>
    </row>
    <row r="54" spans="1:41" s="13" customFormat="1" ht="20.100000000000001" customHeight="1" thickBot="1" x14ac:dyDescent="0.25">
      <c r="A54" s="167">
        <f t="shared" si="4"/>
        <v>36</v>
      </c>
      <c r="B54" s="168"/>
      <c r="C54" s="170" t="str">
        <f>IF(Vorgaben!C54&lt;&gt;"",Vorgaben!C54,"")</f>
        <v>NN 36</v>
      </c>
      <c r="D54" s="170" t="str">
        <f>IF(Vorgaben!D54&lt;&gt;"",Vorgaben!D54,"")</f>
        <v>VN 36</v>
      </c>
      <c r="E54" s="321"/>
      <c r="F54" s="312" t="str">
        <f>IF(AND($C54&lt;&gt;"",Deutsch!F54&lt;&gt;0),Deutsch!F54,"")</f>
        <v/>
      </c>
      <c r="G54" s="313"/>
      <c r="H54" s="312" t="str">
        <f>IF(AND($C54&lt;&gt;"",Deutsch!H54&lt;&gt;0),Deutsch!H54,"")</f>
        <v/>
      </c>
      <c r="I54" s="314"/>
      <c r="J54" s="186">
        <f>IF($C54&lt;&gt;"",Deutsch!J54,"")</f>
        <v>0</v>
      </c>
      <c r="K54" s="314"/>
      <c r="L54" s="315" t="str">
        <f>IF($C54="","",(IF(Deutsch!L54="- -","- -",(IF(Deutsch!L54="x","x: "&amp;Deutsch!P54,(IF(AND(Deutsch!L54="frw. ?",Deutsch!N54=""),"frw. ?",(IF(AND(Deutsch!L54="frw. ?",Deutsch!N54="j"),"frw.: "&amp;Deutsch!P54,"frw.: n")))))))))</f>
        <v>- -</v>
      </c>
      <c r="M54" s="314"/>
      <c r="N54" s="316" t="str">
        <f>IF(AND($C54&lt;&gt;"",Deutsch!Z54&lt;&gt;0),Deutsch!Z54,"")</f>
        <v/>
      </c>
      <c r="O54" s="317" t="str">
        <f>IF(AND($C54&lt;&gt;"",Fremdsprache!E54&lt;&gt;""),Fremdsprache!E54,"")</f>
        <v/>
      </c>
      <c r="P54" s="312" t="str">
        <f>IF(AND($C54&lt;&gt;"",Fremdsprache!F54&lt;&gt;0),Fremdsprache!F54,"")</f>
        <v/>
      </c>
      <c r="Q54" s="313"/>
      <c r="R54" s="312" t="str">
        <f>IF(AND($C54&lt;&gt;"",Fremdsprache!H54&lt;&gt;0),Fremdsprache!H54,"")</f>
        <v/>
      </c>
      <c r="S54" s="314"/>
      <c r="T54" s="186">
        <f>IF($C54&lt;&gt;"",Fremdsprache!J54,"")</f>
        <v>0</v>
      </c>
      <c r="U54" s="314"/>
      <c r="V54" s="315" t="str">
        <f>IF($C54="","",(IF(Fremdsprache!L54="- -","- -",(IF(Fremdsprache!L54="x","x: "&amp;Fremdsprache!P54,(IF(AND(Fremdsprache!L54="frw. ?",Fremdsprache!N54=""),"frw. ?",(IF(AND(Fremdsprache!L54="frw. ?",Fremdsprache!N54="j"),"frw.: "&amp;Fremdsprache!P54,"frw.: n")))))))))</f>
        <v>- -</v>
      </c>
      <c r="W54" s="314"/>
      <c r="X54" s="318" t="str">
        <f>IF(AND($C54&lt;&gt;"",Fremdsprache!Z54&lt;&gt;0),Fremdsprache!Z54,"")</f>
        <v/>
      </c>
      <c r="Y54" s="311"/>
      <c r="Z54" s="312" t="str">
        <f>IF(AND($C54&lt;&gt;"",Mathematik!F54&lt;&gt;0),Mathematik!F54,"")</f>
        <v/>
      </c>
      <c r="AA54" s="313"/>
      <c r="AB54" s="312" t="str">
        <f>IF(AND($C54&lt;&gt;"",Mathematik!H54&lt;&gt;0),Mathematik!H54,"")</f>
        <v/>
      </c>
      <c r="AC54" s="314"/>
      <c r="AD54" s="186">
        <f>IF($C54&lt;&gt;"",Mathematik!J54,"")</f>
        <v>0</v>
      </c>
      <c r="AE54" s="314"/>
      <c r="AF54" s="324" t="str">
        <f>IF($C54="","",(IF(Mathematik!L54="- -","- -",(IF(Mathematik!L54="x","x: "&amp;Mathematik!P54,(IF(AND(Mathematik!L54="frw. ?",Mathematik!N54=""),"frw. ?",(IF(AND(Mathematik!L54="frw. ?",Mathematik!N54="j"),"frw.: "&amp;Mathematik!P54,"frw.: n")))))))))</f>
        <v>- -</v>
      </c>
      <c r="AG54" s="322"/>
      <c r="AH54" s="323" t="str">
        <f>IF(AND($C54&lt;&gt;"",Mathematik!Z54&lt;&gt;0),Mathematik!Z54,"")</f>
        <v/>
      </c>
      <c r="AI54" s="309" t="str">
        <f t="shared" ca="1" si="3"/>
        <v/>
      </c>
      <c r="AJ54" s="310" t="str">
        <f t="shared" si="0"/>
        <v/>
      </c>
      <c r="AK54" s="310" t="str">
        <f t="shared" si="1"/>
        <v/>
      </c>
      <c r="AL54" s="310" t="str">
        <f t="shared" si="2"/>
        <v/>
      </c>
      <c r="AM54" s="154"/>
      <c r="AN54" s="154"/>
      <c r="AO54" s="154"/>
    </row>
    <row r="55" spans="1:41" s="13" customFormat="1" ht="18" customHeight="1" thickTop="1" x14ac:dyDescent="0.2">
      <c r="A55" s="167"/>
      <c r="B55" s="168"/>
      <c r="C55" s="172"/>
      <c r="D55" s="325" t="s">
        <v>48</v>
      </c>
      <c r="E55" s="302"/>
      <c r="F55" s="326" t="str">
        <f>IF(ISERR(SUM(F$19:F$54)/COUNT(F$19:F$54)),"",SUM(F$19:F$54)/COUNT(F$19:F$54))</f>
        <v/>
      </c>
      <c r="G55" s="327"/>
      <c r="H55" s="326" t="str">
        <f>IF(ISERR(SUM(H$19:H$54)/COUNT(H$19:H$54)),"",SUM(H$19:H$54)/COUNT(H$19:H$54))</f>
        <v/>
      </c>
      <c r="I55" s="269"/>
      <c r="J55" s="328"/>
      <c r="K55" s="269"/>
      <c r="L55" s="192"/>
      <c r="M55" s="269"/>
      <c r="N55" s="329" t="str">
        <f>IF(ISERR(SUM($AJ$19:$AJ$54)/COUNT($AJ$19:$AJ$54)),"",SUM($AJ$19:$AJ$54)/COUNT($AJ$19:$AJ$54))</f>
        <v/>
      </c>
      <c r="O55" s="302"/>
      <c r="P55" s="326" t="str">
        <f>IF(ISERR(SUM(P$19:P$54)/COUNT(P$19:P$54)),"",SUM(P$19:P$54)/COUNT(P$19:P$54))</f>
        <v/>
      </c>
      <c r="Q55" s="327"/>
      <c r="R55" s="326" t="str">
        <f>IF(ISERR(SUM(R$19:R$54)/COUNT(R$19:R$54)),"",SUM(R$19:R$54)/COUNT(R$19:R$54))</f>
        <v/>
      </c>
      <c r="S55" s="269"/>
      <c r="T55" s="328"/>
      <c r="U55" s="269"/>
      <c r="V55" s="192"/>
      <c r="W55" s="269"/>
      <c r="X55" s="329" t="str">
        <f>IF(ISERR(SUM($AK$19:$AK$54)/COUNT($AK$19:$AK$54)),"",SUM($AK$19:$AK$54)/COUNT($AK$19:$AK$54))</f>
        <v/>
      </c>
      <c r="Y55" s="302"/>
      <c r="Z55" s="326" t="str">
        <f>IF(ISERR(SUM(Z$19:Z$54)/COUNT(Z$19:Z$54)),"",SUM(Z$19:Z$54)/COUNT(Z$19:Z$54))</f>
        <v/>
      </c>
      <c r="AA55" s="327"/>
      <c r="AB55" s="326" t="str">
        <f>IF(ISERR(SUM(AB$19:AB$54)/COUNT(AB$19:AB$54)),"",SUM(AB$19:AB$54)/COUNT(AB$19:AB$54))</f>
        <v/>
      </c>
      <c r="AC55" s="269"/>
      <c r="AD55" s="328"/>
      <c r="AE55" s="269"/>
      <c r="AF55" s="192"/>
      <c r="AG55" s="269"/>
      <c r="AH55" s="329" t="str">
        <f>IF(ISERR(SUM($AL$19:$AL$54)/COUNT($AL$19:$AL$54)),"",SUM($AL$19:$AL$54)/COUNT($AL$19:$AL$54))</f>
        <v/>
      </c>
      <c r="AI55" s="289"/>
      <c r="AJ55" s="240"/>
      <c r="AK55" s="240"/>
      <c r="AL55" s="240"/>
      <c r="AM55" s="154"/>
      <c r="AN55" s="154"/>
      <c r="AO55" s="154"/>
    </row>
    <row r="56" spans="1:41" s="13" customFormat="1" ht="18" customHeight="1" thickBot="1" x14ac:dyDescent="0.25">
      <c r="A56" s="167"/>
      <c r="B56" s="168"/>
      <c r="C56" s="173"/>
      <c r="D56" s="173"/>
      <c r="E56" s="330"/>
      <c r="F56" s="331"/>
      <c r="G56" s="332"/>
      <c r="H56" s="331"/>
      <c r="I56" s="274"/>
      <c r="J56" s="333"/>
      <c r="K56" s="274"/>
      <c r="L56" s="193"/>
      <c r="M56" s="274"/>
      <c r="N56" s="331"/>
      <c r="O56" s="330"/>
      <c r="P56" s="331"/>
      <c r="Q56" s="332"/>
      <c r="R56" s="331"/>
      <c r="S56" s="274"/>
      <c r="T56" s="333"/>
      <c r="U56" s="274"/>
      <c r="V56" s="193"/>
      <c r="W56" s="274"/>
      <c r="X56" s="331"/>
      <c r="Y56" s="330"/>
      <c r="Z56" s="331"/>
      <c r="AA56" s="332"/>
      <c r="AB56" s="331"/>
      <c r="AC56" s="274"/>
      <c r="AD56" s="333"/>
      <c r="AE56" s="274"/>
      <c r="AF56" s="193"/>
      <c r="AG56" s="274"/>
      <c r="AH56" s="334"/>
      <c r="AI56" s="289"/>
      <c r="AJ56" s="240"/>
      <c r="AK56" s="240"/>
      <c r="AL56" s="240"/>
      <c r="AM56" s="154"/>
      <c r="AN56" s="154"/>
      <c r="AO56" s="154"/>
    </row>
    <row r="57" spans="1:41" s="13" customFormat="1" ht="13.5" thickTop="1" x14ac:dyDescent="0.2">
      <c r="A57" s="174"/>
      <c r="B57" s="154"/>
      <c r="C57" s="196"/>
      <c r="D57" s="196"/>
      <c r="E57" s="196"/>
      <c r="F57" s="196"/>
      <c r="G57" s="196"/>
      <c r="H57" s="196"/>
      <c r="I57" s="196"/>
      <c r="J57" s="196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96"/>
      <c r="AB57" s="196"/>
      <c r="AC57" s="196"/>
      <c r="AD57" s="196"/>
      <c r="AE57" s="196"/>
      <c r="AF57" s="196"/>
      <c r="AG57" s="196"/>
      <c r="AH57" s="196"/>
      <c r="AI57" s="240"/>
      <c r="AJ57" s="240"/>
      <c r="AK57" s="240"/>
      <c r="AL57" s="240"/>
      <c r="AM57" s="154"/>
      <c r="AN57" s="154"/>
      <c r="AO57" s="154"/>
    </row>
    <row r="58" spans="1:41" s="13" customFormat="1" x14ac:dyDescent="0.2">
      <c r="A58" s="174"/>
      <c r="B58" s="154"/>
      <c r="C58" s="143"/>
      <c r="D58" s="143"/>
      <c r="E58" s="143"/>
      <c r="F58" s="143"/>
      <c r="G58" s="143"/>
      <c r="H58" s="335" t="s">
        <v>139</v>
      </c>
      <c r="I58" s="143"/>
      <c r="J58" s="143"/>
      <c r="K58" s="143"/>
      <c r="L58" s="336" t="s">
        <v>140</v>
      </c>
      <c r="M58" s="337"/>
      <c r="N58" s="337" t="s">
        <v>141</v>
      </c>
      <c r="O58" s="338"/>
      <c r="P58" s="338"/>
      <c r="Q58" s="338"/>
      <c r="R58" s="338"/>
      <c r="S58" s="338"/>
      <c r="T58" s="338"/>
      <c r="U58" s="338"/>
      <c r="V58" s="338"/>
      <c r="W58" s="338"/>
      <c r="X58" s="338"/>
      <c r="Y58" s="338"/>
      <c r="Z58" s="338"/>
      <c r="AA58" s="338"/>
      <c r="AB58" s="338"/>
      <c r="AC58" s="338"/>
      <c r="AD58" s="338"/>
      <c r="AE58" s="338"/>
      <c r="AF58" s="338"/>
      <c r="AG58" s="338"/>
      <c r="AH58" s="338"/>
      <c r="AI58" s="240"/>
      <c r="AJ58" s="240"/>
      <c r="AK58" s="240"/>
      <c r="AL58" s="240"/>
      <c r="AM58" s="154"/>
      <c r="AN58" s="154"/>
      <c r="AO58" s="154"/>
    </row>
    <row r="59" spans="1:41" s="13" customFormat="1" x14ac:dyDescent="0.2">
      <c r="A59" s="174"/>
      <c r="B59" s="154"/>
      <c r="C59" s="143"/>
      <c r="D59" s="143"/>
      <c r="E59" s="143"/>
      <c r="F59" s="143"/>
      <c r="G59" s="143"/>
      <c r="H59" s="143"/>
      <c r="I59" s="143"/>
      <c r="J59" s="143"/>
      <c r="K59" s="143"/>
      <c r="L59" s="339" t="s">
        <v>351</v>
      </c>
      <c r="M59" s="337"/>
      <c r="N59" s="337" t="s">
        <v>142</v>
      </c>
      <c r="O59" s="338"/>
      <c r="P59" s="338"/>
      <c r="Q59" s="338"/>
      <c r="R59" s="338"/>
      <c r="S59" s="338"/>
      <c r="T59" s="338"/>
      <c r="U59" s="338"/>
      <c r="V59" s="338"/>
      <c r="W59" s="338"/>
      <c r="X59" s="338"/>
      <c r="Y59" s="338"/>
      <c r="Z59" s="338"/>
      <c r="AA59" s="338"/>
      <c r="AB59" s="338"/>
      <c r="AC59" s="338"/>
      <c r="AD59" s="338"/>
      <c r="AE59" s="338"/>
      <c r="AF59" s="338"/>
      <c r="AG59" s="338"/>
      <c r="AH59" s="338"/>
      <c r="AI59" s="240"/>
      <c r="AJ59" s="240"/>
      <c r="AK59" s="240"/>
      <c r="AL59" s="240"/>
      <c r="AM59" s="154"/>
      <c r="AN59" s="154"/>
      <c r="AO59" s="154"/>
    </row>
    <row r="60" spans="1:41" s="13" customFormat="1" x14ac:dyDescent="0.2">
      <c r="A60" s="174"/>
      <c r="B60" s="154"/>
      <c r="C60" s="338"/>
      <c r="D60" s="338"/>
      <c r="E60" s="338"/>
      <c r="F60" s="338"/>
      <c r="G60" s="338"/>
      <c r="H60" s="338"/>
      <c r="I60" s="338"/>
      <c r="J60" s="338"/>
      <c r="K60" s="338"/>
      <c r="L60" s="339" t="s">
        <v>143</v>
      </c>
      <c r="M60" s="337"/>
      <c r="N60" s="337" t="s">
        <v>144</v>
      </c>
      <c r="O60" s="338"/>
      <c r="P60" s="338"/>
      <c r="Q60" s="338"/>
      <c r="R60" s="338"/>
      <c r="S60" s="338"/>
      <c r="T60" s="338"/>
      <c r="U60" s="338"/>
      <c r="V60" s="338"/>
      <c r="W60" s="338"/>
      <c r="X60" s="338"/>
      <c r="Y60" s="338"/>
      <c r="Z60" s="338"/>
      <c r="AA60" s="338"/>
      <c r="AB60" s="338"/>
      <c r="AC60" s="338"/>
      <c r="AD60" s="338"/>
      <c r="AE60" s="338"/>
      <c r="AF60" s="338"/>
      <c r="AG60" s="338"/>
      <c r="AH60" s="338"/>
      <c r="AI60" s="240"/>
      <c r="AJ60" s="240"/>
      <c r="AK60" s="240"/>
      <c r="AL60" s="240"/>
      <c r="AM60" s="154"/>
      <c r="AN60" s="154"/>
      <c r="AO60" s="154"/>
    </row>
    <row r="61" spans="1:41" s="13" customFormat="1" x14ac:dyDescent="0.2">
      <c r="A61" s="174"/>
      <c r="B61" s="154"/>
      <c r="C61" s="338"/>
      <c r="D61" s="338"/>
      <c r="E61" s="338"/>
      <c r="F61" s="338"/>
      <c r="G61" s="338"/>
      <c r="H61" s="338"/>
      <c r="I61" s="338"/>
      <c r="J61" s="338"/>
      <c r="K61" s="338"/>
      <c r="L61" s="337" t="s">
        <v>145</v>
      </c>
      <c r="M61" s="337"/>
      <c r="N61" s="337" t="s">
        <v>146</v>
      </c>
      <c r="O61" s="338"/>
      <c r="P61" s="338"/>
      <c r="Q61" s="338"/>
      <c r="R61" s="338"/>
      <c r="S61" s="338"/>
      <c r="T61" s="338"/>
      <c r="U61" s="338"/>
      <c r="V61" s="338"/>
      <c r="W61" s="338"/>
      <c r="X61" s="338"/>
      <c r="Y61" s="338"/>
      <c r="Z61" s="338"/>
      <c r="AA61" s="338"/>
      <c r="AB61" s="338"/>
      <c r="AC61" s="338"/>
      <c r="AD61" s="338"/>
      <c r="AE61" s="338"/>
      <c r="AF61" s="338"/>
      <c r="AG61" s="338"/>
      <c r="AH61" s="338"/>
      <c r="AI61" s="240"/>
      <c r="AJ61" s="240"/>
      <c r="AK61" s="240"/>
      <c r="AL61" s="240"/>
      <c r="AM61" s="154"/>
      <c r="AN61" s="154"/>
      <c r="AO61" s="154"/>
    </row>
    <row r="62" spans="1:41" s="13" customFormat="1" x14ac:dyDescent="0.2">
      <c r="A62" s="174"/>
      <c r="B62" s="154"/>
      <c r="C62" s="338"/>
      <c r="D62" s="338"/>
      <c r="E62" s="338"/>
      <c r="F62" s="338"/>
      <c r="G62" s="338"/>
      <c r="H62" s="338"/>
      <c r="I62" s="338"/>
      <c r="J62" s="338"/>
      <c r="K62" s="338"/>
      <c r="L62" s="143"/>
      <c r="M62" s="143"/>
      <c r="N62" s="337" t="s">
        <v>356</v>
      </c>
      <c r="O62" s="143"/>
      <c r="P62" s="143"/>
      <c r="Q62" s="143"/>
      <c r="R62" s="143"/>
      <c r="S62" s="143"/>
      <c r="T62" s="143"/>
      <c r="U62" s="143"/>
      <c r="V62" s="143"/>
      <c r="W62" s="143"/>
      <c r="X62" s="143"/>
      <c r="Y62" s="143"/>
      <c r="Z62" s="143"/>
      <c r="AA62" s="143"/>
      <c r="AB62" s="143"/>
      <c r="AC62" s="143"/>
      <c r="AD62" s="143"/>
      <c r="AE62" s="143"/>
      <c r="AF62" s="143"/>
      <c r="AG62" s="338"/>
      <c r="AH62" s="338"/>
      <c r="AI62" s="240"/>
      <c r="AJ62" s="240"/>
      <c r="AK62" s="240"/>
      <c r="AL62" s="240"/>
      <c r="AM62" s="154"/>
      <c r="AN62" s="154"/>
      <c r="AO62" s="154"/>
    </row>
    <row r="63" spans="1:41" s="13" customFormat="1" x14ac:dyDescent="0.2">
      <c r="A63" s="174"/>
      <c r="B63" s="154"/>
      <c r="C63" s="240"/>
      <c r="D63" s="240"/>
      <c r="E63" s="240"/>
      <c r="F63" s="240"/>
      <c r="G63" s="240"/>
      <c r="H63" s="240"/>
      <c r="I63" s="240"/>
      <c r="J63" s="240"/>
      <c r="K63" s="240"/>
      <c r="L63" s="143"/>
      <c r="M63" s="143"/>
      <c r="N63" s="143"/>
      <c r="O63" s="143"/>
      <c r="P63" s="143"/>
      <c r="Q63" s="143"/>
      <c r="R63" s="143"/>
      <c r="S63" s="143"/>
      <c r="T63" s="143"/>
      <c r="U63" s="143"/>
      <c r="V63" s="143"/>
      <c r="W63" s="143"/>
      <c r="X63" s="143"/>
      <c r="Y63" s="143"/>
      <c r="Z63" s="143"/>
      <c r="AA63" s="143"/>
      <c r="AB63" s="143"/>
      <c r="AC63" s="143"/>
      <c r="AD63" s="143"/>
      <c r="AE63" s="143"/>
      <c r="AF63" s="143"/>
      <c r="AG63" s="240"/>
      <c r="AH63" s="240"/>
      <c r="AI63" s="240"/>
      <c r="AJ63" s="240"/>
      <c r="AK63" s="240"/>
      <c r="AL63" s="240"/>
      <c r="AM63" s="154"/>
      <c r="AN63" s="154"/>
      <c r="AO63" s="154"/>
    </row>
    <row r="64" spans="1:41" s="13" customFormat="1" x14ac:dyDescent="0.2">
      <c r="A64" s="174"/>
      <c r="B64" s="154"/>
      <c r="C64" s="154"/>
      <c r="D64" s="154"/>
      <c r="E64" s="154"/>
      <c r="F64" s="154"/>
      <c r="G64" s="154"/>
      <c r="H64" s="154"/>
      <c r="I64" s="154"/>
      <c r="J64" s="154"/>
      <c r="K64" s="154"/>
      <c r="L64" s="340" t="s">
        <v>258</v>
      </c>
      <c r="M64" s="148"/>
      <c r="N64" s="337" t="s">
        <v>354</v>
      </c>
      <c r="O64" s="148"/>
      <c r="P64" s="148"/>
      <c r="Q64" s="148"/>
      <c r="R64" s="148"/>
      <c r="S64" s="148"/>
      <c r="T64" s="148"/>
      <c r="U64" s="148"/>
      <c r="V64" s="148"/>
      <c r="W64" s="148"/>
      <c r="X64" s="148"/>
      <c r="Y64" s="148"/>
      <c r="Z64" s="148"/>
      <c r="AA64" s="148"/>
      <c r="AB64" s="148"/>
      <c r="AC64" s="148"/>
      <c r="AD64" s="148"/>
      <c r="AE64" s="148"/>
      <c r="AF64" s="148"/>
      <c r="AG64" s="154"/>
      <c r="AH64" s="154"/>
      <c r="AI64" s="154"/>
      <c r="AJ64" s="154"/>
      <c r="AK64" s="154"/>
      <c r="AL64" s="154"/>
      <c r="AM64" s="154"/>
      <c r="AN64" s="154"/>
      <c r="AO64" s="154"/>
    </row>
    <row r="65" spans="1:41" s="13" customFormat="1" x14ac:dyDescent="0.2">
      <c r="A65" s="174"/>
      <c r="B65" s="154"/>
      <c r="C65" s="154"/>
      <c r="D65" s="154"/>
      <c r="E65" s="154"/>
      <c r="F65" s="154"/>
      <c r="G65" s="154"/>
      <c r="H65" s="154"/>
      <c r="I65" s="154"/>
      <c r="J65" s="154"/>
      <c r="K65" s="154"/>
      <c r="L65" s="148"/>
      <c r="M65" s="148"/>
      <c r="N65" s="337" t="s">
        <v>355</v>
      </c>
      <c r="O65" s="148"/>
      <c r="P65" s="148"/>
      <c r="Q65" s="148"/>
      <c r="R65" s="148"/>
      <c r="S65" s="148"/>
      <c r="T65" s="148"/>
      <c r="U65" s="148"/>
      <c r="V65" s="148"/>
      <c r="W65" s="148"/>
      <c r="X65" s="148"/>
      <c r="Y65" s="148"/>
      <c r="Z65" s="148"/>
      <c r="AA65" s="148"/>
      <c r="AB65" s="148"/>
      <c r="AC65" s="148"/>
      <c r="AD65" s="148"/>
      <c r="AE65" s="148"/>
      <c r="AF65" s="148"/>
      <c r="AG65" s="154"/>
      <c r="AH65" s="154"/>
      <c r="AI65" s="154"/>
      <c r="AJ65" s="154"/>
      <c r="AK65" s="154"/>
      <c r="AL65" s="154"/>
      <c r="AM65" s="154"/>
      <c r="AN65" s="154"/>
      <c r="AO65" s="154"/>
    </row>
    <row r="66" spans="1:41" s="13" customFormat="1" x14ac:dyDescent="0.2">
      <c r="A66" s="174"/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54"/>
      <c r="AF66" s="154"/>
      <c r="AG66" s="154"/>
      <c r="AH66" s="154"/>
      <c r="AI66" s="154"/>
      <c r="AJ66" s="154"/>
      <c r="AK66" s="154"/>
      <c r="AL66" s="154"/>
      <c r="AM66" s="154"/>
      <c r="AN66" s="154"/>
      <c r="AO66" s="154"/>
    </row>
    <row r="67" spans="1:41" s="13" customFormat="1" x14ac:dyDescent="0.2">
      <c r="A67" s="37"/>
    </row>
    <row r="68" spans="1:41" s="13" customFormat="1" x14ac:dyDescent="0.2"/>
    <row r="69" spans="1:41" s="13" customFormat="1" x14ac:dyDescent="0.2"/>
    <row r="70" spans="1:41" s="13" customFormat="1" x14ac:dyDescent="0.2"/>
    <row r="71" spans="1:41" s="13" customFormat="1" x14ac:dyDescent="0.2"/>
    <row r="72" spans="1:41" s="13" customFormat="1" x14ac:dyDescent="0.2"/>
    <row r="73" spans="1:41" s="13" customFormat="1" x14ac:dyDescent="0.2"/>
    <row r="74" spans="1:41" s="13" customFormat="1" x14ac:dyDescent="0.2"/>
    <row r="75" spans="1:41" s="13" customFormat="1" x14ac:dyDescent="0.2"/>
    <row r="76" spans="1:41" s="13" customFormat="1" x14ac:dyDescent="0.2"/>
    <row r="77" spans="1:41" s="13" customFormat="1" x14ac:dyDescent="0.2"/>
    <row r="78" spans="1:41" s="13" customFormat="1" x14ac:dyDescent="0.2"/>
    <row r="79" spans="1:41" s="13" customFormat="1" x14ac:dyDescent="0.2"/>
    <row r="80" spans="1:41" s="13" customFormat="1" x14ac:dyDescent="0.2"/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="13" customFormat="1" x14ac:dyDescent="0.2"/>
    <row r="146" s="13" customFormat="1" x14ac:dyDescent="0.2"/>
    <row r="147" s="13" customFormat="1" x14ac:dyDescent="0.2"/>
    <row r="148" s="13" customFormat="1" x14ac:dyDescent="0.2"/>
    <row r="149" s="13" customFormat="1" x14ac:dyDescent="0.2"/>
    <row r="150" s="13" customFormat="1" x14ac:dyDescent="0.2"/>
    <row r="151" s="13" customFormat="1" x14ac:dyDescent="0.2"/>
    <row r="152" s="13" customFormat="1" x14ac:dyDescent="0.2"/>
    <row r="153" s="13" customFormat="1" x14ac:dyDescent="0.2"/>
  </sheetData>
  <sheetProtection sheet="1"/>
  <mergeCells count="4">
    <mergeCell ref="E16:N16"/>
    <mergeCell ref="O16:X16"/>
    <mergeCell ref="Y16:AH16"/>
    <mergeCell ref="O5:O6"/>
  </mergeCells>
  <phoneticPr fontId="10" type="noConversion"/>
  <conditionalFormatting sqref="O19:O54">
    <cfRule type="cellIs" dxfId="28" priority="1" stopIfTrue="1" operator="equal">
      <formula>"F"</formula>
    </cfRule>
    <cfRule type="cellIs" dxfId="27" priority="2" stopIfTrue="1" operator="equal">
      <formula>"L"</formula>
    </cfRule>
  </conditionalFormatting>
  <conditionalFormatting sqref="AI19:AI54">
    <cfRule type="cellIs" dxfId="26" priority="3" stopIfTrue="1" operator="equal">
      <formula>"R"</formula>
    </cfRule>
  </conditionalFormatting>
  <conditionalFormatting sqref="V19:V54 L19:L54 AF19:AF54">
    <cfRule type="cellIs" dxfId="25" priority="4" stopIfTrue="1" operator="equal">
      <formula>"frw. ?"</formula>
    </cfRule>
    <cfRule type="cellIs" dxfId="24" priority="5" stopIfTrue="1" operator="equal">
      <formula>"frw.: "</formula>
    </cfRule>
    <cfRule type="cellIs" dxfId="23" priority="6" stopIfTrue="1" operator="equal">
      <formula>"x: "</formula>
    </cfRule>
  </conditionalFormatting>
  <printOptions gridLinesSet="0"/>
  <pageMargins left="0.39370078740157483" right="0" top="0.39370078740157483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L77"/>
  <sheetViews>
    <sheetView showGridLines="0" tabSelected="1" topLeftCell="A22" workbookViewId="0">
      <selection activeCell="B46" sqref="B46"/>
    </sheetView>
  </sheetViews>
  <sheetFormatPr baseColWidth="10" defaultRowHeight="12.75" x14ac:dyDescent="0.2"/>
  <cols>
    <col min="1" max="1" width="15.7109375" customWidth="1"/>
    <col min="8" max="8" width="16.7109375" customWidth="1"/>
    <col min="9" max="9" width="6.7109375" customWidth="1"/>
  </cols>
  <sheetData>
    <row r="1" spans="1:12" ht="15.75" x14ac:dyDescent="0.25">
      <c r="A1" s="280">
        <f>MAX(Deutsch!$A$19:$A$54)</f>
        <v>36</v>
      </c>
      <c r="B1" s="346" t="str">
        <f>"Der Ausdruck aller Mitteilungen ("&amp;$A$1&amp;") für die SuS dieser Klasse kann durch die"</f>
        <v>Der Ausdruck aller Mitteilungen (36) für die SuS dieser Klasse kann durch die</v>
      </c>
      <c r="C1" s="227"/>
      <c r="D1" s="227"/>
      <c r="E1" s="227"/>
      <c r="F1" s="227"/>
      <c r="G1" s="227"/>
      <c r="H1" s="227"/>
      <c r="I1" s="148"/>
      <c r="J1" s="344">
        <v>1</v>
      </c>
      <c r="K1" s="148" t="s">
        <v>147</v>
      </c>
      <c r="L1" s="158"/>
    </row>
    <row r="2" spans="1:12" ht="15.75" x14ac:dyDescent="0.25">
      <c r="A2" s="280" t="s">
        <v>357</v>
      </c>
      <c r="B2" s="346" t="s">
        <v>368</v>
      </c>
      <c r="C2" s="227"/>
      <c r="D2" s="227"/>
      <c r="E2" s="227"/>
      <c r="F2" s="227"/>
      <c r="G2" s="227"/>
      <c r="H2" s="227"/>
      <c r="I2" s="148"/>
      <c r="J2" s="344">
        <v>2</v>
      </c>
      <c r="K2" s="148" t="s">
        <v>148</v>
      </c>
      <c r="L2" s="158"/>
    </row>
    <row r="3" spans="1:12" x14ac:dyDescent="0.2">
      <c r="A3" s="345">
        <v>1</v>
      </c>
      <c r="B3" s="140" t="s">
        <v>377</v>
      </c>
      <c r="C3" s="140"/>
      <c r="D3" s="140"/>
      <c r="E3" s="140"/>
      <c r="F3" s="140"/>
      <c r="G3" s="140"/>
      <c r="H3" s="140"/>
      <c r="I3" s="347"/>
      <c r="J3" s="344">
        <v>3</v>
      </c>
      <c r="K3" s="148" t="s">
        <v>149</v>
      </c>
      <c r="L3" s="158"/>
    </row>
    <row r="4" spans="1:12" x14ac:dyDescent="0.2">
      <c r="A4" s="378" t="s">
        <v>193</v>
      </c>
      <c r="B4" s="140" t="s">
        <v>295</v>
      </c>
      <c r="C4" s="140"/>
      <c r="D4" s="140"/>
      <c r="E4" s="140"/>
      <c r="F4" s="148"/>
      <c r="G4" s="148"/>
      <c r="H4" s="148"/>
      <c r="I4" s="343"/>
      <c r="J4" s="344">
        <v>4</v>
      </c>
      <c r="K4" s="148" t="s">
        <v>150</v>
      </c>
      <c r="L4" s="158"/>
    </row>
    <row r="5" spans="1:12" ht="15.75" x14ac:dyDescent="0.25">
      <c r="A5" s="100" t="s">
        <v>254</v>
      </c>
      <c r="B5" s="348" t="s">
        <v>359</v>
      </c>
      <c r="C5" s="349"/>
      <c r="D5" s="349"/>
      <c r="E5" s="349"/>
      <c r="F5" s="349"/>
      <c r="G5" s="349"/>
      <c r="H5" s="349"/>
      <c r="I5" s="342"/>
      <c r="J5" s="341">
        <v>5</v>
      </c>
      <c r="K5" s="158" t="s">
        <v>152</v>
      </c>
    </row>
    <row r="6" spans="1:12" ht="15.75" x14ac:dyDescent="0.25">
      <c r="A6" s="158"/>
      <c r="B6" s="348" t="s">
        <v>360</v>
      </c>
      <c r="C6" s="349"/>
      <c r="D6" s="349"/>
      <c r="E6" s="349"/>
      <c r="F6" s="349"/>
      <c r="G6" s="349"/>
      <c r="H6" s="349"/>
      <c r="I6" s="342"/>
      <c r="J6" s="341">
        <v>6</v>
      </c>
      <c r="K6" s="158" t="s">
        <v>153</v>
      </c>
    </row>
    <row r="7" spans="1:12" x14ac:dyDescent="0.2">
      <c r="A7" s="158"/>
      <c r="B7" s="158"/>
      <c r="C7" s="158"/>
      <c r="D7" s="158"/>
      <c r="E7" s="158"/>
      <c r="F7" s="158"/>
      <c r="G7" s="158"/>
      <c r="H7" s="158"/>
      <c r="I7" s="342"/>
      <c r="J7" s="158"/>
      <c r="K7" s="158"/>
    </row>
    <row r="8" spans="1:12" ht="15" x14ac:dyDescent="0.25">
      <c r="A8" s="158"/>
      <c r="B8" s="350">
        <f>Vorgaben!$C$7</f>
        <v>0</v>
      </c>
      <c r="C8" s="158"/>
      <c r="D8" s="158"/>
      <c r="E8" s="158"/>
      <c r="F8" s="158"/>
      <c r="G8" s="158"/>
      <c r="H8" s="351">
        <f>Vorgaben!$C$6</f>
        <v>0</v>
      </c>
      <c r="I8" s="158"/>
      <c r="J8" s="158"/>
      <c r="K8" s="158"/>
    </row>
    <row r="9" spans="1:12" x14ac:dyDescent="0.2">
      <c r="A9" s="158"/>
      <c r="B9" s="158"/>
      <c r="C9" s="158"/>
      <c r="D9" s="158"/>
      <c r="E9" s="158"/>
      <c r="F9" s="158"/>
      <c r="G9" s="158"/>
      <c r="H9" s="352">
        <f>Vorgaben!$C$3</f>
        <v>0</v>
      </c>
      <c r="I9" s="158"/>
      <c r="J9" s="158"/>
      <c r="K9" s="158"/>
    </row>
    <row r="10" spans="1:12" ht="14.25" x14ac:dyDescent="0.2">
      <c r="A10" s="158"/>
      <c r="B10" s="353" t="str">
        <f>"Klasse 10 - Abschlussverfahren "&amp;Vorgaben!$G$6</f>
        <v>Klasse 10 - Abschlussverfahren 20</v>
      </c>
      <c r="C10" s="158"/>
      <c r="D10" s="158"/>
      <c r="E10" s="158"/>
      <c r="F10" s="158"/>
      <c r="G10" s="158"/>
      <c r="H10" s="158"/>
      <c r="I10" s="158"/>
      <c r="J10" s="158"/>
      <c r="K10" s="158"/>
    </row>
    <row r="11" spans="1:12" ht="9.75" customHeight="1" x14ac:dyDescent="0.2">
      <c r="A11" s="158"/>
      <c r="B11" s="354"/>
      <c r="C11" s="158"/>
      <c r="D11" s="158"/>
      <c r="E11" s="158"/>
      <c r="F11" s="158"/>
      <c r="G11" s="158"/>
      <c r="H11" s="158"/>
      <c r="I11" s="158"/>
      <c r="J11" s="158"/>
      <c r="K11" s="158"/>
    </row>
    <row r="12" spans="1:12" ht="14.25" x14ac:dyDescent="0.2">
      <c r="A12" s="158"/>
      <c r="B12" s="354" t="s">
        <v>154</v>
      </c>
      <c r="C12" s="158"/>
      <c r="D12" s="158"/>
      <c r="E12" s="158"/>
      <c r="F12" s="158"/>
      <c r="G12" s="158"/>
      <c r="H12" s="158"/>
      <c r="I12" s="158"/>
      <c r="J12" s="158"/>
      <c r="K12" s="158"/>
    </row>
    <row r="13" spans="1:12" ht="14.25" x14ac:dyDescent="0.2">
      <c r="A13" s="158"/>
      <c r="B13" s="354" t="s">
        <v>155</v>
      </c>
      <c r="C13" s="158"/>
      <c r="D13" s="158"/>
      <c r="E13" s="158"/>
      <c r="F13" s="158"/>
      <c r="G13" s="158"/>
      <c r="H13" s="158"/>
      <c r="I13" s="158"/>
      <c r="J13" s="158"/>
      <c r="K13" s="158"/>
    </row>
    <row r="14" spans="1:12" x14ac:dyDescent="0.2">
      <c r="A14" s="158"/>
      <c r="B14" s="158"/>
      <c r="C14" s="158"/>
      <c r="D14" s="158"/>
      <c r="E14" s="158"/>
      <c r="F14" s="158"/>
      <c r="G14" s="158"/>
      <c r="H14" s="158"/>
      <c r="I14" s="158"/>
      <c r="J14" s="158"/>
      <c r="K14" s="158"/>
    </row>
    <row r="15" spans="1:12" ht="15" x14ac:dyDescent="0.25">
      <c r="A15" s="158"/>
      <c r="B15" s="159" t="s">
        <v>156</v>
      </c>
      <c r="C15" s="355" t="str">
        <f>VLOOKUP($A$3,Vorgaben!$A$19:$D$54,4,FALSE)&amp;" "&amp;VLOOKUP($A$3,Vorgaben!$A$19:$D$54,3,FALSE)</f>
        <v>VN 1 NN 1</v>
      </c>
      <c r="D15" s="158"/>
      <c r="E15" s="158"/>
      <c r="F15" s="158"/>
      <c r="G15" s="158"/>
      <c r="H15" s="158"/>
      <c r="I15" s="158"/>
      <c r="J15" s="158"/>
      <c r="K15" s="158"/>
    </row>
    <row r="16" spans="1:12" x14ac:dyDescent="0.2">
      <c r="A16" s="158"/>
      <c r="B16" s="159"/>
      <c r="C16" s="158"/>
      <c r="D16" s="158"/>
      <c r="E16" s="158"/>
      <c r="F16" s="158"/>
      <c r="G16" s="158"/>
      <c r="H16" s="158"/>
      <c r="I16" s="158"/>
      <c r="J16" s="158"/>
      <c r="K16" s="158"/>
    </row>
    <row r="17" spans="1:11" ht="15" x14ac:dyDescent="0.25">
      <c r="A17" s="158"/>
      <c r="B17" s="159" t="s">
        <v>157</v>
      </c>
      <c r="C17" s="356" t="str">
        <f>Vorgaben!$G$3</f>
        <v>10a</v>
      </c>
      <c r="D17" s="158"/>
      <c r="E17" s="158"/>
      <c r="F17" s="158"/>
      <c r="G17" s="158"/>
      <c r="H17" s="158"/>
      <c r="I17" s="158"/>
      <c r="J17" s="158"/>
      <c r="K17" s="158"/>
    </row>
    <row r="18" spans="1:11" x14ac:dyDescent="0.2">
      <c r="A18" s="158"/>
      <c r="B18" s="159"/>
      <c r="C18" s="158"/>
      <c r="D18" s="158"/>
      <c r="E18" s="158"/>
      <c r="F18" s="158"/>
      <c r="G18" s="158"/>
      <c r="H18" s="158"/>
      <c r="I18" s="158"/>
      <c r="J18" s="158"/>
      <c r="K18" s="158"/>
    </row>
    <row r="19" spans="1:11" ht="15" x14ac:dyDescent="0.25">
      <c r="A19" s="158"/>
      <c r="B19" s="357" t="s">
        <v>158</v>
      </c>
      <c r="C19" s="358"/>
      <c r="D19" s="359" t="s">
        <v>131</v>
      </c>
      <c r="E19" s="360"/>
      <c r="F19" s="359" t="str">
        <f>VLOOKUP($A$3,Vorgaben!$A$19:$G$54,7,FALSE)</f>
        <v>Englisch</v>
      </c>
      <c r="G19" s="360"/>
      <c r="H19" s="359" t="s">
        <v>89</v>
      </c>
      <c r="I19" s="158"/>
      <c r="J19" s="158"/>
      <c r="K19" s="158"/>
    </row>
    <row r="20" spans="1:11" x14ac:dyDescent="0.2">
      <c r="A20" s="158"/>
      <c r="B20" s="159"/>
      <c r="C20" s="158"/>
      <c r="D20" s="158"/>
      <c r="E20" s="158"/>
      <c r="F20" s="158"/>
      <c r="G20" s="158"/>
      <c r="H20" s="158"/>
      <c r="I20" s="158"/>
      <c r="J20" s="158"/>
      <c r="K20" s="158"/>
    </row>
    <row r="21" spans="1:11" x14ac:dyDescent="0.2">
      <c r="A21" s="158"/>
      <c r="B21" s="571" t="s">
        <v>0</v>
      </c>
      <c r="C21" s="158"/>
      <c r="D21" s="362" t="str">
        <f>IF(VLOOKUP($A$3,Deutsch!$A$19:$AH$54,6,FALSE)=0,"fehlt",VLOOKUP($A$3,Deutsch!$A$19:$AH$54,6,FALSE))</f>
        <v>fehlt</v>
      </c>
      <c r="E21" s="159"/>
      <c r="F21" s="362" t="str">
        <f>IF(VLOOKUP($A$3,Fremdsprache!$A$19:$AH$54,6,FALSE)=0,"fehlt",VLOOKUP($A$3,Fremdsprache!$A$19:$AH$54,6,FALSE))</f>
        <v>fehlt</v>
      </c>
      <c r="G21" s="159"/>
      <c r="H21" s="362" t="str">
        <f>IF(VLOOKUP($A$3,Mathematik!$A$19:$AH$54,6,FALSE)=0,"fehlt",VLOOKUP($A$3,Mathematik!$A$19:$AH$54,6,FALSE))</f>
        <v>fehlt</v>
      </c>
      <c r="I21" s="158"/>
      <c r="J21" s="158"/>
      <c r="K21" s="158"/>
    </row>
    <row r="22" spans="1:11" x14ac:dyDescent="0.2">
      <c r="A22" s="158"/>
      <c r="B22" s="571"/>
      <c r="C22" s="158"/>
      <c r="D22" s="362" t="str">
        <f>IF(ISNA(VLOOKUP(D21,$J$1:$K$6,2,FALSE)),"","("&amp;VLOOKUP(D21,$J$1:$K$6,2,FALSE)&amp;")")</f>
        <v/>
      </c>
      <c r="E22" s="159"/>
      <c r="F22" s="362" t="str">
        <f>IF(ISNA(VLOOKUP(F21,$J$1:$K$6,2,FALSE)),"","("&amp;VLOOKUP(F21,$J$1:$K$6,2,FALSE)&amp;")")</f>
        <v/>
      </c>
      <c r="G22" s="159"/>
      <c r="H22" s="362" t="str">
        <f>IF(ISNA(VLOOKUP(H21,$J$1:$K$6,2,FALSE)),"","("&amp;VLOOKUP(H21,$J$1:$K$6,2,FALSE)&amp;")")</f>
        <v/>
      </c>
      <c r="I22" s="158"/>
      <c r="J22" s="158"/>
      <c r="K22" s="158"/>
    </row>
    <row r="23" spans="1:11" x14ac:dyDescent="0.2">
      <c r="A23" s="158"/>
      <c r="B23" s="159"/>
      <c r="C23" s="158"/>
      <c r="D23" s="158"/>
      <c r="E23" s="158"/>
      <c r="F23" s="158"/>
      <c r="G23" s="158"/>
      <c r="H23" s="158"/>
      <c r="I23" s="158"/>
      <c r="J23" s="158"/>
      <c r="K23" s="158"/>
    </row>
    <row r="24" spans="1:11" x14ac:dyDescent="0.2">
      <c r="A24" s="158"/>
      <c r="B24" s="363"/>
      <c r="C24" s="364"/>
      <c r="D24" s="364"/>
      <c r="E24" s="364"/>
      <c r="F24" s="364"/>
      <c r="G24" s="364"/>
      <c r="H24" s="364"/>
      <c r="I24" s="158"/>
      <c r="J24" s="158"/>
      <c r="K24" s="158"/>
    </row>
    <row r="25" spans="1:11" x14ac:dyDescent="0.2">
      <c r="A25" s="158"/>
      <c r="B25" s="159" t="s">
        <v>159</v>
      </c>
      <c r="C25" s="158"/>
      <c r="D25" s="362" t="str">
        <f>IF(VLOOKUP($A$3,Deutsch!$A$19:$AH$54,8,FALSE)=0,"fehlt",VLOOKUP($A$3,Deutsch!$A$19:$AH$54,8,FALSE))</f>
        <v>fehlt</v>
      </c>
      <c r="E25" s="158"/>
      <c r="F25" s="362" t="str">
        <f>IF(VLOOKUP($A$3,Fremdsprache!$A$19:$AH$54,8,FALSE)=0,"fehlt",VLOOKUP($A$3,Fremdsprache!$A$19:$AH$54,8,FALSE))</f>
        <v>fehlt</v>
      </c>
      <c r="G25" s="158"/>
      <c r="H25" s="362" t="str">
        <f>IF(VLOOKUP($A$3,Mathematik!$A$19:$AH$54,8,FALSE)=0,"fehlt",VLOOKUP($A$3,Mathematik!$A$19:$AH$54,8,FALSE))</f>
        <v>fehlt</v>
      </c>
      <c r="I25" s="158"/>
      <c r="J25" s="158"/>
      <c r="K25" s="158"/>
    </row>
    <row r="26" spans="1:11" x14ac:dyDescent="0.2">
      <c r="A26" s="158"/>
      <c r="B26" s="159" t="s">
        <v>160</v>
      </c>
      <c r="C26" s="158"/>
      <c r="D26" s="362" t="str">
        <f>IF(ISNA(VLOOKUP(D25,$J$1:$K$6,2,FALSE)),"","("&amp;VLOOKUP(D25,$J$1:$K$6,2,FALSE)&amp;")")</f>
        <v/>
      </c>
      <c r="E26" s="158"/>
      <c r="F26" s="362" t="str">
        <f>IF(ISNA(VLOOKUP(F25,$J$1:$K$6,2,FALSE)),"","("&amp;VLOOKUP(F25,$J$1:$K$6,2,FALSE)&amp;")")</f>
        <v/>
      </c>
      <c r="G26" s="158"/>
      <c r="H26" s="362" t="str">
        <f>IF(ISNA(VLOOKUP(H25,$J$1:$K$6,2,FALSE)),"","("&amp;VLOOKUP(H25,$J$1:$K$6,2,FALSE)&amp;")")</f>
        <v/>
      </c>
      <c r="I26" s="158"/>
      <c r="J26" s="158"/>
      <c r="K26" s="158"/>
    </row>
    <row r="27" spans="1:11" x14ac:dyDescent="0.2">
      <c r="A27" s="158"/>
      <c r="B27" s="159"/>
      <c r="C27" s="158"/>
      <c r="D27" s="158"/>
      <c r="E27" s="158"/>
      <c r="F27" s="158"/>
      <c r="G27" s="158"/>
      <c r="H27" s="158"/>
      <c r="I27" s="158"/>
      <c r="J27" s="158"/>
      <c r="K27" s="158"/>
    </row>
    <row r="28" spans="1:11" x14ac:dyDescent="0.2">
      <c r="A28" s="365" t="s">
        <v>161</v>
      </c>
      <c r="B28" s="363"/>
      <c r="C28" s="364"/>
      <c r="D28" s="364"/>
      <c r="E28" s="364"/>
      <c r="F28" s="364"/>
      <c r="G28" s="364"/>
      <c r="H28" s="364"/>
      <c r="I28" s="158"/>
      <c r="J28" s="158"/>
      <c r="K28" s="158"/>
    </row>
    <row r="29" spans="1:11" x14ac:dyDescent="0.2">
      <c r="A29" s="365" t="str">
        <f>IF(OR($D29="freiwillige",$F29="freiwillige",$H29="freiwillige"),"j","n")</f>
        <v>n</v>
      </c>
      <c r="B29" s="159" t="s">
        <v>58</v>
      </c>
      <c r="C29" s="158"/>
      <c r="D29" s="366" t="str">
        <f>IF(VLOOKUP($A$3,Übersicht!$A$19:$AH$54,12,FALSE)="frw. ?","freiwillige",IF(VLOOKUP($A$3,Übersicht!$A$19:$AH$54,12,FALSE)="x: ","erforderlich",IF(OR(D$21="fehlt",D$25="fehlt"),"offen","entfällt")))</f>
        <v>offen</v>
      </c>
      <c r="E29" s="158"/>
      <c r="F29" s="366" t="str">
        <f>IF(VLOOKUP($A$3,Übersicht!$A$19:$AH$54,22,FALSE)="frw. ?","freiwillige",IF(VLOOKUP($A$3,Übersicht!$A$19:$AH$54,22,FALSE)="x: ","erforderlich",IF(OR(F$21="fehlt",F$25="fehlt"),"offen","entfällt")))</f>
        <v>offen</v>
      </c>
      <c r="G29" s="158"/>
      <c r="H29" s="366" t="str">
        <f>IF(VLOOKUP($A$3,Übersicht!$A$19:$AH$54,32,FALSE)="frw. ?","freiwillige",IF(VLOOKUP($A$3,Übersicht!$A$19:$AH$54,32,FALSE)="x: ","erforderlich",IF(OR(H$21="fehlt",H$25="fehlt"),"offen","entfällt")))</f>
        <v>offen</v>
      </c>
      <c r="I29" s="158"/>
      <c r="J29" s="158"/>
      <c r="K29" s="158"/>
    </row>
    <row r="30" spans="1:11" x14ac:dyDescent="0.2">
      <c r="A30" s="367"/>
      <c r="B30" s="159" t="s">
        <v>200</v>
      </c>
      <c r="C30" s="158"/>
      <c r="D30" s="366" t="str">
        <f>IF(VLOOKUP($A$3,Übersicht!$A$19:$AH$54,12,FALSE)="frw. ?","Prüfung",IF(VLOOKUP($A$3,Übersicht!$A$19:$AH$54,12,FALSE)="x: ","(§ 34 Abs. 3 APO-S I)",""))</f>
        <v/>
      </c>
      <c r="E30" s="158"/>
      <c r="F30" s="366" t="str">
        <f>IF(VLOOKUP($A$3,Übersicht!$A$19:$AH$54,22,FALSE)="frw. ?","Prüfung",IF(VLOOKUP($A$3,Übersicht!$A$19:$AH$54,22,FALSE)="x: ","(§ 34 Abs. 3 APO-S I)",""))</f>
        <v/>
      </c>
      <c r="G30" s="158"/>
      <c r="H30" s="366" t="str">
        <f>IF(VLOOKUP($A$3,Übersicht!$A$19:$AH$54,32,FALSE)="frw. ?","Prüfung",IF(VLOOKUP($A$3,Übersicht!$A$19:$AH$54,32,FALSE)="x: ","(§ 34 Abs. 3 APO-S I)",""))</f>
        <v/>
      </c>
      <c r="I30" s="158"/>
      <c r="J30" s="158"/>
      <c r="K30" s="158"/>
    </row>
    <row r="31" spans="1:11" x14ac:dyDescent="0.2">
      <c r="A31" s="158"/>
      <c r="B31" s="159"/>
      <c r="C31" s="158"/>
      <c r="D31" s="366" t="str">
        <f>IF(VLOOKUP($A$3,Übersicht!$A$19:$AH$54,12,FALSE)="frw. ?","möglich","")</f>
        <v/>
      </c>
      <c r="E31" s="158"/>
      <c r="F31" s="366" t="str">
        <f>IF(VLOOKUP($A$3,Übersicht!$A$19:$AH$54,22,FALSE)="frw. ?","möglich","")</f>
        <v/>
      </c>
      <c r="G31" s="158"/>
      <c r="H31" s="366" t="str">
        <f>IF(VLOOKUP($A$3,Übersicht!$A$19:$AH$54,32,FALSE)="frw. ?","möglich","")</f>
        <v/>
      </c>
      <c r="I31" s="158"/>
      <c r="J31" s="158"/>
      <c r="K31" s="158"/>
    </row>
    <row r="32" spans="1:11" x14ac:dyDescent="0.2">
      <c r="A32" s="365" t="s">
        <v>228</v>
      </c>
      <c r="B32" s="159"/>
      <c r="C32" s="158"/>
      <c r="D32" s="366" t="str">
        <f>IF(VLOOKUP($A$3,Übersicht!$A$19:$AH$54,12,FALSE)="frw. ?","(§ 34 Abs. 2 APO-S I)","")</f>
        <v/>
      </c>
      <c r="E32" s="158"/>
      <c r="F32" s="366" t="str">
        <f>IF(VLOOKUP($A$3,Übersicht!$A$19:$AH$54,22,FALSE)="frw. ?","(§ 34 Abs. 2 APO-S I)","")</f>
        <v/>
      </c>
      <c r="G32" s="158"/>
      <c r="H32" s="366" t="str">
        <f>IF(VLOOKUP($A$3,Übersicht!$A$19:$AH$54,32,FALSE)="frw. ?","(§ 34 Abs. 2 APO-S I)","")</f>
        <v/>
      </c>
      <c r="I32" s="158"/>
      <c r="J32" s="158"/>
      <c r="K32" s="158"/>
    </row>
    <row r="33" spans="1:11" x14ac:dyDescent="0.2">
      <c r="A33" s="365" t="str">
        <f>IF(OR($D$29="erforderlich",$F$29="erforderlich",$H$29="erforderlich"),"j","n")</f>
        <v>n</v>
      </c>
      <c r="B33" s="363"/>
      <c r="C33" s="364"/>
      <c r="D33" s="364"/>
      <c r="E33" s="364"/>
      <c r="F33" s="364"/>
      <c r="G33" s="364"/>
      <c r="H33" s="364"/>
      <c r="I33" s="158"/>
      <c r="J33" s="158"/>
      <c r="K33" s="158"/>
    </row>
    <row r="34" spans="1:11" x14ac:dyDescent="0.2">
      <c r="A34" s="365">
        <f>COUNTIF($D$29:$H$29,"erforderlich")</f>
        <v>0</v>
      </c>
      <c r="B34" s="159"/>
      <c r="C34" s="158"/>
      <c r="D34" s="362"/>
      <c r="E34" s="159"/>
      <c r="F34" s="362"/>
      <c r="G34" s="159"/>
      <c r="H34" s="362"/>
      <c r="I34" s="158"/>
      <c r="J34" s="158"/>
      <c r="K34" s="158"/>
    </row>
    <row r="35" spans="1:11" x14ac:dyDescent="0.2">
      <c r="A35" s="158" t="str">
        <f>IF($D$29="erforderlich",$D$19&amp;IF(OR(A$36&lt;&gt;"",A$37&lt;&gt;""),", ",""),"")</f>
        <v/>
      </c>
      <c r="B35" s="159"/>
      <c r="C35" s="158"/>
      <c r="D35" s="362"/>
      <c r="E35" s="159"/>
      <c r="F35" s="362"/>
      <c r="G35" s="159"/>
      <c r="H35" s="362"/>
      <c r="I35" s="158"/>
      <c r="J35" s="158"/>
      <c r="K35" s="158"/>
    </row>
    <row r="36" spans="1:11" x14ac:dyDescent="0.2">
      <c r="A36" s="158" t="str">
        <f>IF($F$29="erforderlich",$F$19&amp;IF(A$37&lt;&gt;"",", ",""),"")</f>
        <v/>
      </c>
      <c r="B36" s="159"/>
      <c r="C36" s="158"/>
      <c r="D36" s="159"/>
      <c r="E36" s="159"/>
      <c r="F36" s="159"/>
      <c r="G36" s="159"/>
      <c r="H36" s="159"/>
      <c r="I36" s="158"/>
      <c r="J36" s="158"/>
      <c r="K36" s="158"/>
    </row>
    <row r="37" spans="1:11" x14ac:dyDescent="0.2">
      <c r="A37" s="158" t="str">
        <f>IF($H$29="erforderlich",$H$19,"")</f>
        <v/>
      </c>
      <c r="B37" s="363"/>
      <c r="C37" s="364"/>
      <c r="D37" s="364"/>
      <c r="E37" s="364"/>
      <c r="F37" s="364"/>
      <c r="G37" s="364"/>
      <c r="H37" s="364"/>
      <c r="I37" s="158"/>
      <c r="J37" s="158"/>
      <c r="K37" s="158"/>
    </row>
    <row r="38" spans="1:11" x14ac:dyDescent="0.2">
      <c r="A38" s="368" t="str">
        <f>CONCATENATE(A$35,A$36,A$37)</f>
        <v/>
      </c>
      <c r="B38" s="369"/>
      <c r="C38" s="370"/>
      <c r="D38" s="370"/>
      <c r="E38" s="370"/>
      <c r="F38" s="370"/>
      <c r="G38" s="370"/>
      <c r="H38" s="370"/>
      <c r="I38" s="158"/>
      <c r="J38" s="158"/>
      <c r="K38" s="158"/>
    </row>
    <row r="39" spans="1:11" x14ac:dyDescent="0.2">
      <c r="A39" s="158"/>
      <c r="B39" s="158"/>
      <c r="C39" s="158"/>
      <c r="D39" s="158"/>
      <c r="E39" s="158"/>
      <c r="F39" s="158"/>
      <c r="G39" s="158"/>
      <c r="H39" s="158"/>
      <c r="I39" s="158"/>
      <c r="J39" s="158"/>
      <c r="K39" s="158"/>
    </row>
    <row r="40" spans="1:11" x14ac:dyDescent="0.2">
      <c r="A40" s="158"/>
      <c r="B40" s="371" t="s">
        <v>162</v>
      </c>
      <c r="C40" s="158"/>
      <c r="D40" s="158"/>
      <c r="E40" s="158"/>
      <c r="F40" s="158"/>
      <c r="G40" s="158"/>
      <c r="H40" s="158"/>
      <c r="I40" s="158"/>
      <c r="J40" s="158"/>
      <c r="K40" s="158"/>
    </row>
    <row r="41" spans="1:11" x14ac:dyDescent="0.2">
      <c r="A41" s="158"/>
      <c r="B41" s="158"/>
      <c r="C41" s="158"/>
      <c r="D41" s="158"/>
      <c r="E41" s="158"/>
      <c r="F41" s="158"/>
      <c r="G41" s="158"/>
      <c r="H41" s="158"/>
      <c r="I41" s="158"/>
      <c r="J41" s="158"/>
      <c r="K41" s="158"/>
    </row>
    <row r="42" spans="1:11" x14ac:dyDescent="0.2">
      <c r="A42" s="158"/>
      <c r="B42" s="158"/>
      <c r="C42" s="158"/>
      <c r="D42" s="158"/>
      <c r="E42" s="158"/>
      <c r="F42" s="158"/>
      <c r="G42" s="158"/>
      <c r="H42" s="158"/>
      <c r="I42" s="158"/>
      <c r="J42" s="158"/>
      <c r="K42" s="158"/>
    </row>
    <row r="43" spans="1:11" x14ac:dyDescent="0.2">
      <c r="A43" s="158"/>
      <c r="B43" s="158"/>
      <c r="C43" s="158"/>
      <c r="D43" s="158"/>
      <c r="E43" s="158"/>
      <c r="F43" s="158"/>
      <c r="G43" s="158"/>
      <c r="H43" s="158"/>
      <c r="I43" s="158"/>
      <c r="J43" s="158"/>
      <c r="K43" s="158"/>
    </row>
    <row r="44" spans="1:11" x14ac:dyDescent="0.2">
      <c r="A44" s="158"/>
      <c r="B44" s="572" t="str">
        <f>Vorgaben!$C$5</f>
        <v>NN</v>
      </c>
      <c r="C44" s="572"/>
      <c r="D44" s="158"/>
      <c r="E44" s="158"/>
      <c r="F44" s="158"/>
      <c r="G44" s="158"/>
      <c r="H44" s="158"/>
      <c r="I44" s="158"/>
      <c r="J44" s="158"/>
      <c r="K44" s="158"/>
    </row>
    <row r="45" spans="1:11" x14ac:dyDescent="0.2">
      <c r="A45" s="158"/>
      <c r="B45" s="573" t="str">
        <f>IF(Vorgaben!$B$5="Frau","(Klassenlehrerin)","(Klassenlehrer)")</f>
        <v>(Klassenlehrerin)</v>
      </c>
      <c r="C45" s="573"/>
      <c r="D45" s="158"/>
      <c r="E45" s="158"/>
      <c r="F45" s="158"/>
      <c r="G45" s="158"/>
      <c r="H45" s="158"/>
      <c r="I45" s="158"/>
      <c r="J45" s="158"/>
      <c r="K45" s="158"/>
    </row>
    <row r="46" spans="1:11" ht="15" x14ac:dyDescent="0.2">
      <c r="A46" s="158"/>
      <c r="B46" s="372" t="s">
        <v>253</v>
      </c>
      <c r="C46" s="158"/>
      <c r="D46" s="158"/>
      <c r="E46" s="158"/>
      <c r="F46" s="158"/>
      <c r="G46" s="158"/>
      <c r="H46" s="158"/>
      <c r="I46" s="158"/>
      <c r="J46" s="158"/>
      <c r="K46" s="373"/>
    </row>
    <row r="47" spans="1:11" x14ac:dyDescent="0.2">
      <c r="A47" s="158"/>
      <c r="B47" s="372" t="s">
        <v>408</v>
      </c>
      <c r="C47" s="158"/>
      <c r="D47" s="158"/>
      <c r="E47" s="158"/>
      <c r="F47" s="158"/>
      <c r="G47" s="158"/>
      <c r="H47" s="158"/>
      <c r="I47" s="158"/>
      <c r="J47" s="158"/>
      <c r="K47" s="158"/>
    </row>
    <row r="48" spans="1:11" x14ac:dyDescent="0.2">
      <c r="A48" s="158"/>
      <c r="B48" s="372" t="s">
        <v>234</v>
      </c>
      <c r="C48" s="158"/>
      <c r="D48" s="158"/>
      <c r="E48" s="158"/>
      <c r="F48" s="158"/>
      <c r="G48" s="158"/>
      <c r="H48" s="158"/>
      <c r="I48" s="158"/>
      <c r="J48" s="158"/>
      <c r="K48" s="158"/>
    </row>
    <row r="49" spans="1:11" x14ac:dyDescent="0.2">
      <c r="A49" s="158"/>
      <c r="B49" s="372" t="s">
        <v>409</v>
      </c>
      <c r="C49" s="158"/>
      <c r="D49" s="158"/>
      <c r="E49" s="158"/>
      <c r="F49" s="158"/>
      <c r="G49" s="158"/>
      <c r="H49" s="158"/>
      <c r="I49" s="158"/>
      <c r="J49" s="158"/>
      <c r="K49" s="158"/>
    </row>
    <row r="50" spans="1:11" x14ac:dyDescent="0.2">
      <c r="A50" s="158"/>
      <c r="B50" s="372" t="s">
        <v>252</v>
      </c>
      <c r="C50" s="158"/>
      <c r="D50" s="158"/>
      <c r="E50" s="158"/>
      <c r="F50" s="158"/>
      <c r="G50" s="158"/>
      <c r="H50" s="158"/>
      <c r="I50" s="158"/>
      <c r="J50" s="158"/>
      <c r="K50" s="158"/>
    </row>
    <row r="51" spans="1:11" x14ac:dyDescent="0.2">
      <c r="A51" s="158"/>
      <c r="B51" s="372" t="s">
        <v>410</v>
      </c>
      <c r="C51" s="158"/>
      <c r="D51" s="158"/>
      <c r="E51" s="158"/>
      <c r="F51" s="158"/>
      <c r="G51" s="158"/>
      <c r="H51" s="158"/>
      <c r="I51" s="158"/>
      <c r="J51" s="158"/>
      <c r="K51" s="158"/>
    </row>
    <row r="52" spans="1:11" ht="6" customHeight="1" x14ac:dyDescent="0.2">
      <c r="A52" s="158"/>
      <c r="B52" s="372"/>
      <c r="C52" s="158"/>
      <c r="D52" s="158"/>
      <c r="E52" s="158"/>
      <c r="F52" s="158"/>
      <c r="G52" s="158"/>
      <c r="H52" s="158"/>
      <c r="I52" s="158"/>
      <c r="J52" s="158"/>
      <c r="K52" s="158"/>
    </row>
    <row r="53" spans="1:11" x14ac:dyDescent="0.2">
      <c r="A53" s="158"/>
      <c r="B53" s="158" t="str">
        <f>IF(OR($A$4="j",$A$29="j",$A$33="j"),"- - - - - - - - - - - - - - - - - - - - - - - - - - - - - - Bitte hier abtrennen - - - - - - - - - - - - - - - - - - - - - - - - - - - - - - - - -","")</f>
        <v>- - - - - - - - - - - - - - - - - - - - - - - - - - - - - - Bitte hier abtrennen - - - - - - - - - - - - - - - - - - - - - - - - - - - - - - - - -</v>
      </c>
      <c r="C53" s="158"/>
      <c r="D53" s="158"/>
      <c r="E53" s="158"/>
      <c r="F53" s="158"/>
      <c r="G53" s="158"/>
      <c r="H53" s="158"/>
      <c r="I53" s="158"/>
      <c r="J53" s="158"/>
      <c r="K53" s="158"/>
    </row>
    <row r="54" spans="1:11" ht="7.5" customHeight="1" x14ac:dyDescent="0.2">
      <c r="A54" s="158"/>
      <c r="B54" s="158"/>
      <c r="C54" s="158"/>
      <c r="D54" s="158"/>
      <c r="E54" s="158"/>
      <c r="F54" s="158"/>
      <c r="G54" s="158"/>
      <c r="H54" s="158"/>
      <c r="I54" s="158"/>
      <c r="J54" s="158"/>
      <c r="K54" s="158"/>
    </row>
    <row r="55" spans="1:11" x14ac:dyDescent="0.2">
      <c r="A55" s="158"/>
      <c r="B55" s="374" t="str">
        <f>IF(OR($A$4="j",$A$29="j",$A$33="j"),"Rückantwort zur Zentralen Prüfung","")</f>
        <v>Rückantwort zur Zentralen Prüfung</v>
      </c>
      <c r="C55" s="374"/>
      <c r="D55" s="374"/>
      <c r="E55" s="158"/>
      <c r="F55" s="158"/>
      <c r="G55" s="159"/>
      <c r="H55" s="375" t="str">
        <f>IF(OR($A$4="j",$A$29="j",$A$33="j"),"Klasse 10 - Abschlussverfahren "&amp;Vorgaben!$G$6,"")</f>
        <v>Klasse 10 - Abschlussverfahren 20</v>
      </c>
      <c r="I55" s="158"/>
      <c r="J55" s="158"/>
      <c r="K55" s="158"/>
    </row>
    <row r="56" spans="1:11" ht="6" customHeight="1" x14ac:dyDescent="0.2">
      <c r="A56" s="158"/>
      <c r="B56" s="374"/>
      <c r="C56" s="374"/>
      <c r="D56" s="374"/>
      <c r="E56" s="158"/>
      <c r="F56" s="158"/>
      <c r="G56" s="159"/>
      <c r="H56" s="375"/>
      <c r="I56" s="158"/>
      <c r="J56" s="158"/>
      <c r="K56" s="158"/>
    </row>
    <row r="57" spans="1:11" ht="15" x14ac:dyDescent="0.25">
      <c r="A57" s="158"/>
      <c r="B57" s="350" t="str">
        <f>IF(OR($A$4="j",$A$29="j",$A$33="j"),$A$3&amp;") "&amp;$C$15&amp;", Klasse "&amp;$C$17,"")</f>
        <v>1) VN 1 NN 1, Klasse 10a</v>
      </c>
      <c r="C57" s="158"/>
      <c r="D57" s="158"/>
      <c r="E57" s="158"/>
      <c r="F57" s="158"/>
      <c r="G57" s="158"/>
      <c r="H57" s="158"/>
      <c r="I57" s="158"/>
      <c r="J57" s="158"/>
      <c r="K57" s="158"/>
    </row>
    <row r="58" spans="1:11" ht="6.75" customHeight="1" x14ac:dyDescent="0.25">
      <c r="A58" s="158"/>
      <c r="B58" s="350"/>
      <c r="C58" s="158"/>
      <c r="D58" s="158"/>
      <c r="E58" s="158"/>
      <c r="F58" s="158"/>
      <c r="G58" s="158"/>
      <c r="H58" s="158"/>
      <c r="I58" s="158"/>
      <c r="J58" s="158"/>
      <c r="K58" s="158"/>
    </row>
    <row r="59" spans="1:11" x14ac:dyDescent="0.2">
      <c r="A59" s="158"/>
      <c r="B59" s="159" t="str">
        <f>IF($D$29="freiwillige","wird zur freiwilligen mündlichen Prüfung in "&amp;$D$19&amp;" angemeldet:   ja  /  nein  *)","")</f>
        <v/>
      </c>
      <c r="C59" s="158"/>
      <c r="D59" s="158"/>
      <c r="E59" s="158"/>
      <c r="F59" s="158"/>
      <c r="G59" s="158"/>
      <c r="H59" s="158"/>
      <c r="I59" s="158"/>
      <c r="J59" s="158"/>
      <c r="K59" s="158"/>
    </row>
    <row r="60" spans="1:11" x14ac:dyDescent="0.2">
      <c r="A60" s="158"/>
      <c r="B60" s="159" t="str">
        <f>IF($F$29="freiwillige","wird zur freiwilligen mündlichen Prüfung in "&amp;$F$19&amp;" angemeldet:   ja  /  nein  *)","")</f>
        <v/>
      </c>
      <c r="C60" s="158"/>
      <c r="D60" s="158"/>
      <c r="E60" s="158"/>
      <c r="F60" s="158"/>
      <c r="G60" s="158"/>
      <c r="H60" s="158"/>
      <c r="I60" s="158"/>
      <c r="J60" s="158"/>
      <c r="K60" s="158"/>
    </row>
    <row r="61" spans="1:11" x14ac:dyDescent="0.2">
      <c r="A61" s="158"/>
      <c r="B61" s="159" t="str">
        <f>IF($H$29="freiwillige","wird zur freiwilligen mündlichen Prüfung in "&amp;$H$19&amp;" angemeldet:   ja  /  nein  *)","")</f>
        <v/>
      </c>
      <c r="C61" s="158"/>
      <c r="D61" s="158"/>
      <c r="E61" s="158"/>
      <c r="F61" s="158"/>
      <c r="G61" s="158"/>
      <c r="H61" s="158"/>
      <c r="I61" s="158"/>
      <c r="J61" s="158"/>
      <c r="K61" s="158"/>
    </row>
    <row r="62" spans="1:11" x14ac:dyDescent="0.2">
      <c r="A62" s="158"/>
      <c r="B62" s="159"/>
      <c r="C62" s="158"/>
      <c r="D62" s="158"/>
      <c r="E62" s="158"/>
      <c r="F62" s="158"/>
      <c r="G62" s="158"/>
      <c r="H62" s="158"/>
      <c r="I62" s="158"/>
      <c r="J62" s="158"/>
      <c r="K62" s="158"/>
    </row>
    <row r="63" spans="1:11" x14ac:dyDescent="0.2">
      <c r="A63" s="158"/>
      <c r="B63" s="159" t="str">
        <f>IF($A$33="j",IF($A$34=1,"Von der erforderlichen mündlichen Prüfung in "&amp;$A$38&amp;" sowie","Von den erforderlichen mündlichen Prüfungen in "&amp;$A$38&amp;" sowie"),"")</f>
        <v/>
      </c>
      <c r="C63" s="158"/>
      <c r="D63" s="158"/>
      <c r="E63" s="158"/>
      <c r="F63" s="158"/>
      <c r="G63" s="158"/>
      <c r="H63" s="158"/>
      <c r="I63" s="158"/>
      <c r="J63" s="158"/>
      <c r="K63" s="158"/>
    </row>
    <row r="64" spans="1:11" x14ac:dyDescent="0.2">
      <c r="A64" s="158"/>
      <c r="B64" s="159" t="str">
        <f>CONCATENATE(IF(AND($A$4="j",$A$33="n"),"Von ",""),IF(OR($A$4="j",$A$33="j"),"der Bekanntgabe der Vornoten und schriftlichen Prüfungsnoten habe ich Kenntnis genommen.",""))</f>
        <v>Von der Bekanntgabe der Vornoten und schriftlichen Prüfungsnoten habe ich Kenntnis genommen.</v>
      </c>
      <c r="C64" s="158"/>
      <c r="D64" s="158"/>
      <c r="E64" s="158"/>
      <c r="F64" s="158"/>
      <c r="G64" s="158"/>
      <c r="H64" s="158"/>
      <c r="I64" s="158"/>
      <c r="J64" s="158"/>
      <c r="K64" s="158"/>
    </row>
    <row r="65" spans="1:11" x14ac:dyDescent="0.2">
      <c r="A65" s="158"/>
      <c r="B65" s="159"/>
      <c r="C65" s="158"/>
      <c r="D65" s="158"/>
      <c r="E65" s="158"/>
      <c r="F65" s="158"/>
      <c r="G65" s="158"/>
      <c r="H65" s="158"/>
      <c r="I65" s="158"/>
      <c r="J65" s="158"/>
      <c r="K65" s="158"/>
    </row>
    <row r="66" spans="1:11" x14ac:dyDescent="0.2">
      <c r="A66" s="158"/>
      <c r="B66" s="158"/>
      <c r="C66" s="158"/>
      <c r="D66" s="158"/>
      <c r="E66" s="158"/>
      <c r="F66" s="158"/>
      <c r="G66" s="362" t="str">
        <f>IF(OR($A$4="j",$A$29="j",$A$33="j"),"_____________________________________________","")</f>
        <v>_____________________________________________</v>
      </c>
      <c r="H66" s="158"/>
      <c r="I66" s="158"/>
      <c r="J66" s="158"/>
      <c r="K66" s="158"/>
    </row>
    <row r="67" spans="1:11" x14ac:dyDescent="0.2">
      <c r="A67" s="158"/>
      <c r="B67" s="376" t="str">
        <f>IF(OR($D$29="freiwillige",$F$29="freiwillige",$H$29="freiwillige")," *) Nichtzutreffendes bitte streichen","")</f>
        <v/>
      </c>
      <c r="C67" s="158"/>
      <c r="D67" s="158"/>
      <c r="E67" s="158"/>
      <c r="F67" s="158"/>
      <c r="G67" s="362" t="str">
        <f>IF(OR($A$4="j",$A$29="j",$A$33="j"),"Unterschrift des/der Erziehungsberechtigten **)","")</f>
        <v>Unterschrift des/der Erziehungsberechtigten **)</v>
      </c>
      <c r="H67" s="158"/>
      <c r="I67" s="158"/>
      <c r="J67" s="158"/>
      <c r="K67" s="158"/>
    </row>
    <row r="68" spans="1:11" x14ac:dyDescent="0.2">
      <c r="A68" s="158"/>
      <c r="B68" s="376" t="str">
        <f>IF(OR($A$4="j",$A$29="j",$A$33="j"),"**) Die Unterschrift einer/eines Erziehungsberechtigten reicht aus. Volljährige Schülerinnen und Schüler unterschreiben selbst.","")</f>
        <v>**) Die Unterschrift einer/eines Erziehungsberechtigten reicht aus. Volljährige Schülerinnen und Schüler unterschreiben selbst.</v>
      </c>
      <c r="C68" s="158"/>
      <c r="D68" s="158"/>
      <c r="E68" s="158"/>
      <c r="F68" s="158"/>
      <c r="G68" s="158"/>
      <c r="H68" s="158"/>
      <c r="I68" s="158"/>
      <c r="J68" s="158"/>
      <c r="K68" s="158"/>
    </row>
    <row r="69" spans="1:11" x14ac:dyDescent="0.2">
      <c r="A69" s="158"/>
      <c r="B69" s="377"/>
      <c r="C69" s="158"/>
      <c r="D69" s="158"/>
      <c r="E69" s="158"/>
      <c r="F69" s="158"/>
      <c r="G69" s="158"/>
      <c r="H69" s="158"/>
      <c r="I69" s="158"/>
      <c r="J69" s="158"/>
      <c r="K69" s="158"/>
    </row>
    <row r="70" spans="1:11" x14ac:dyDescent="0.2">
      <c r="A70" s="158"/>
      <c r="B70" s="374" t="str">
        <f>IF(OR($A$4="j",$A$29="j",$A$33="j"),"Abgabe dieses Abschnittes bitte bis spätestens "&amp;TEXT(Vorgaben!$C$4,"TT.MM.JJJJ")&amp;" im Sekretariat der Schule","")</f>
        <v>Abgabe dieses Abschnittes bitte bis spätestens 00.01.1900 im Sekretariat der Schule</v>
      </c>
      <c r="C70" s="158"/>
      <c r="D70" s="158"/>
      <c r="E70" s="158"/>
      <c r="F70" s="158"/>
      <c r="G70" s="158"/>
      <c r="H70" s="158"/>
      <c r="I70" s="158"/>
      <c r="J70" s="158"/>
      <c r="K70" s="158"/>
    </row>
    <row r="71" spans="1:11" x14ac:dyDescent="0.2">
      <c r="A71" s="158"/>
      <c r="B71" s="158"/>
      <c r="C71" s="158"/>
      <c r="D71" s="158"/>
      <c r="E71" s="158"/>
      <c r="F71" s="158"/>
      <c r="G71" s="158"/>
      <c r="H71" s="158"/>
      <c r="I71" s="158"/>
      <c r="J71" s="158"/>
      <c r="K71" s="158"/>
    </row>
    <row r="72" spans="1:11" x14ac:dyDescent="0.2">
      <c r="A72" s="158"/>
      <c r="B72" s="158"/>
      <c r="C72" s="158"/>
      <c r="D72" s="158"/>
      <c r="E72" s="158"/>
      <c r="F72" s="158"/>
      <c r="G72" s="158"/>
      <c r="H72" s="158"/>
      <c r="I72" s="158"/>
      <c r="J72" s="158"/>
      <c r="K72" s="158"/>
    </row>
    <row r="73" spans="1:11" x14ac:dyDescent="0.2">
      <c r="A73" s="158"/>
      <c r="B73" s="158"/>
      <c r="C73" s="158"/>
      <c r="D73" s="158"/>
      <c r="E73" s="158"/>
      <c r="F73" s="158"/>
      <c r="G73" s="158"/>
      <c r="H73" s="158"/>
      <c r="I73" s="158"/>
      <c r="J73" s="158"/>
      <c r="K73" s="158"/>
    </row>
    <row r="74" spans="1:11" x14ac:dyDescent="0.2">
      <c r="A74" s="158"/>
      <c r="B74" s="158"/>
      <c r="C74" s="158"/>
      <c r="D74" s="158"/>
      <c r="E74" s="158"/>
      <c r="F74" s="158"/>
      <c r="G74" s="158"/>
      <c r="H74" s="158"/>
      <c r="I74" s="158"/>
      <c r="J74" s="158"/>
      <c r="K74" s="158"/>
    </row>
    <row r="75" spans="1:11" x14ac:dyDescent="0.2">
      <c r="A75" s="148"/>
      <c r="B75" s="148"/>
      <c r="C75" s="148"/>
      <c r="D75" s="148"/>
      <c r="E75" s="148"/>
      <c r="F75" s="148"/>
      <c r="G75" s="148"/>
      <c r="H75" s="148"/>
      <c r="I75" s="148"/>
      <c r="J75" s="148"/>
      <c r="K75" s="148"/>
    </row>
    <row r="76" spans="1:11" x14ac:dyDescent="0.2">
      <c r="A76" s="148"/>
      <c r="B76" s="148"/>
      <c r="C76" s="148"/>
      <c r="D76" s="148"/>
      <c r="E76" s="148"/>
      <c r="F76" s="148"/>
      <c r="G76" s="148"/>
      <c r="H76" s="148"/>
      <c r="I76" s="148"/>
      <c r="J76" s="148"/>
      <c r="K76" s="148"/>
    </row>
    <row r="77" spans="1:11" x14ac:dyDescent="0.2">
      <c r="A77" s="148"/>
      <c r="B77" s="148"/>
      <c r="C77" s="148"/>
      <c r="D77" s="148"/>
      <c r="E77" s="148"/>
      <c r="F77" s="148"/>
      <c r="G77" s="148"/>
      <c r="H77" s="148"/>
      <c r="I77" s="148"/>
      <c r="J77" s="148"/>
      <c r="K77" s="148"/>
    </row>
  </sheetData>
  <sheetProtection sheet="1" objects="1" scenarios="1"/>
  <mergeCells count="3">
    <mergeCell ref="B21:B22"/>
    <mergeCell ref="B44:C44"/>
    <mergeCell ref="B45:C45"/>
  </mergeCells>
  <phoneticPr fontId="0" type="noConversion"/>
  <pageMargins left="0.78740157480314965" right="0.39370078740157483" top="0.39370078740157483" bottom="0.39370078740157483" header="0" footer="0"/>
  <pageSetup paperSize="9" orientation="portrait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pageSetUpPr autoPageBreaks="0"/>
  </sheetPr>
  <dimension ref="A1:DQ153"/>
  <sheetViews>
    <sheetView showGridLines="0" topLeftCell="A10" workbookViewId="0"/>
  </sheetViews>
  <sheetFormatPr baseColWidth="10" defaultColWidth="10.7109375" defaultRowHeight="12.75" x14ac:dyDescent="0.2"/>
  <cols>
    <col min="1" max="1" width="3.7109375" style="9" customWidth="1"/>
    <col min="2" max="2" width="1.7109375" style="9" customWidth="1"/>
    <col min="3" max="3" width="14.5703125" style="9" customWidth="1"/>
    <col min="4" max="4" width="16.140625" style="9" customWidth="1"/>
    <col min="5" max="5" width="2.7109375" style="9" customWidth="1"/>
    <col min="6" max="6" width="4.7109375" style="9" customWidth="1"/>
    <col min="7" max="7" width="2.7109375" style="9" customWidth="1"/>
    <col min="8" max="8" width="4.7109375" style="9" customWidth="1"/>
    <col min="9" max="9" width="1.7109375" style="9" customWidth="1"/>
    <col min="10" max="10" width="3.7109375" style="9" customWidth="1"/>
    <col min="11" max="11" width="1.7109375" style="9" customWidth="1"/>
    <col min="12" max="12" width="5.7109375" style="9" customWidth="1"/>
    <col min="13" max="13" width="1.7109375" style="9" customWidth="1"/>
    <col min="14" max="14" width="4.7109375" style="9" customWidth="1"/>
    <col min="15" max="15" width="1.7109375" style="9" customWidth="1"/>
    <col min="16" max="16" width="3.7109375" style="9" customWidth="1"/>
    <col min="17" max="17" width="1.7109375" style="9" customWidth="1"/>
    <col min="18" max="18" width="3.7109375" style="9" customWidth="1"/>
    <col min="19" max="19" width="1.7109375" style="9" customWidth="1"/>
    <col min="20" max="20" width="3.7109375" style="9" customWidth="1"/>
    <col min="21" max="21" width="1.7109375" style="9" customWidth="1"/>
    <col min="22" max="22" width="3.7109375" style="9" customWidth="1"/>
    <col min="23" max="23" width="1.7109375" style="9" customWidth="1"/>
    <col min="24" max="24" width="3.7109375" style="9" customWidth="1"/>
    <col min="25" max="25" width="1.7109375" style="9" customWidth="1"/>
    <col min="26" max="27" width="3.7109375" style="9" customWidth="1"/>
    <col min="28" max="28" width="10.7109375" style="9"/>
    <col min="29" max="29" width="5.42578125" style="9" customWidth="1"/>
    <col min="30" max="30" width="14.5703125" style="9" customWidth="1"/>
    <col min="31" max="16384" width="10.7109375" style="9"/>
  </cols>
  <sheetData>
    <row r="1" spans="1:121" x14ac:dyDescent="0.2">
      <c r="A1" s="226"/>
      <c r="B1" s="226"/>
      <c r="C1" s="226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1"/>
      <c r="X1" s="141"/>
      <c r="Y1" s="141"/>
      <c r="Z1" s="141"/>
      <c r="AA1" s="141"/>
      <c r="AB1" s="141"/>
      <c r="AC1" s="141"/>
      <c r="AD1" s="141"/>
      <c r="AE1" s="141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</row>
    <row r="2" spans="1:121" x14ac:dyDescent="0.2">
      <c r="A2" s="264"/>
      <c r="B2" s="226"/>
      <c r="C2" s="226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1"/>
      <c r="X2" s="141"/>
      <c r="Y2" s="141"/>
      <c r="Z2" s="141"/>
      <c r="AA2" s="141"/>
      <c r="AB2" s="141"/>
      <c r="AC2" s="141"/>
      <c r="AD2" s="141"/>
      <c r="AE2" s="141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</row>
    <row r="3" spans="1:121" x14ac:dyDescent="0.2">
      <c r="A3" s="264"/>
      <c r="B3" s="226"/>
      <c r="C3" s="134" t="s">
        <v>131</v>
      </c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1"/>
      <c r="X3" s="141"/>
      <c r="Y3" s="141"/>
      <c r="Z3" s="141"/>
      <c r="AA3" s="141"/>
      <c r="AB3" s="141"/>
      <c r="AC3" s="141"/>
      <c r="AD3" s="228"/>
      <c r="AE3" s="141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</row>
    <row r="4" spans="1:121" x14ac:dyDescent="0.2">
      <c r="A4" s="141"/>
      <c r="B4" s="141"/>
      <c r="C4" s="141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1"/>
      <c r="X4" s="141"/>
      <c r="Y4" s="141"/>
      <c r="Z4" s="141"/>
      <c r="AA4" s="141"/>
      <c r="AB4" s="141"/>
      <c r="AC4" s="141"/>
      <c r="AD4" s="228"/>
      <c r="AE4" s="141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</row>
    <row r="5" spans="1:121" x14ac:dyDescent="0.2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228"/>
      <c r="AE5" s="141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</row>
    <row r="6" spans="1:121" x14ac:dyDescent="0.2">
      <c r="A6" s="141"/>
      <c r="B6" s="141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141"/>
      <c r="AB6" s="141"/>
      <c r="AC6" s="141"/>
      <c r="AD6" s="228"/>
      <c r="AE6" s="141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</row>
    <row r="7" spans="1:121" x14ac:dyDescent="0.2">
      <c r="A7" s="141"/>
      <c r="B7" s="141"/>
      <c r="C7" s="134" t="s">
        <v>213</v>
      </c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141"/>
      <c r="Z7" s="141"/>
      <c r="AA7" s="141"/>
      <c r="AB7" s="141"/>
      <c r="AC7" s="141"/>
      <c r="AD7" s="228"/>
      <c r="AE7" s="141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</row>
    <row r="8" spans="1:121" x14ac:dyDescent="0.2">
      <c r="A8" s="141"/>
      <c r="B8" s="141"/>
      <c r="C8" s="134" t="s">
        <v>214</v>
      </c>
      <c r="D8" s="134"/>
      <c r="E8" s="134"/>
      <c r="F8" s="134"/>
      <c r="G8" s="134"/>
      <c r="H8" s="134"/>
      <c r="I8" s="134"/>
      <c r="J8" s="134"/>
      <c r="K8" s="134"/>
      <c r="L8" s="134"/>
      <c r="M8" s="134"/>
      <c r="N8" s="134"/>
      <c r="O8" s="226"/>
      <c r="P8" s="226"/>
      <c r="Q8" s="226"/>
      <c r="R8" s="226"/>
      <c r="S8" s="226"/>
      <c r="T8" s="226"/>
      <c r="U8" s="226"/>
      <c r="V8" s="226"/>
      <c r="W8" s="226"/>
      <c r="X8" s="226"/>
      <c r="Y8" s="141"/>
      <c r="Z8" s="141"/>
      <c r="AA8" s="141"/>
      <c r="AB8" s="141"/>
      <c r="AC8" s="141"/>
      <c r="AD8" s="228"/>
      <c r="AE8" s="141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</row>
    <row r="9" spans="1:121" x14ac:dyDescent="0.2">
      <c r="A9" s="141"/>
      <c r="B9" s="141"/>
      <c r="C9" s="141" t="s">
        <v>212</v>
      </c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1"/>
      <c r="Q9" s="141"/>
      <c r="R9" s="141"/>
      <c r="S9" s="141"/>
      <c r="T9" s="141"/>
      <c r="U9" s="141"/>
      <c r="V9" s="141"/>
      <c r="W9" s="141"/>
      <c r="X9" s="141"/>
      <c r="Y9" s="141"/>
      <c r="Z9" s="141"/>
      <c r="AA9" s="141"/>
      <c r="AB9" s="141"/>
      <c r="AC9" s="141"/>
      <c r="AD9" s="228"/>
      <c r="AE9" s="141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</row>
    <row r="10" spans="1:121" x14ac:dyDescent="0.2">
      <c r="A10" s="141"/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231" t="s">
        <v>124</v>
      </c>
      <c r="AD10" s="230"/>
      <c r="AE10" s="231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</row>
    <row r="11" spans="1:121" x14ac:dyDescent="0.2">
      <c r="A11" s="141"/>
      <c r="B11" s="141"/>
      <c r="C11" s="141" t="s">
        <v>133</v>
      </c>
      <c r="D11" s="232"/>
      <c r="E11" s="148"/>
      <c r="F11" s="148"/>
      <c r="G11" s="148"/>
      <c r="H11" s="232"/>
      <c r="I11" s="232"/>
      <c r="J11" s="232"/>
      <c r="K11" s="232"/>
      <c r="L11" s="232"/>
      <c r="M11" s="232"/>
      <c r="N11" s="232"/>
      <c r="O11" s="148"/>
      <c r="P11" s="148"/>
      <c r="Q11" s="148"/>
      <c r="R11" s="148"/>
      <c r="S11" s="148"/>
      <c r="T11" s="148"/>
      <c r="U11" s="148"/>
      <c r="V11" s="148"/>
      <c r="W11" s="148"/>
      <c r="X11" s="141"/>
      <c r="Y11" s="141"/>
      <c r="Z11" s="141"/>
      <c r="AA11" s="141"/>
      <c r="AB11" s="141"/>
      <c r="AC11" s="231" t="s">
        <v>122</v>
      </c>
      <c r="AD11" s="230"/>
      <c r="AE11" s="231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</row>
    <row r="12" spans="1:121" x14ac:dyDescent="0.2">
      <c r="A12" s="141"/>
      <c r="B12" s="141"/>
      <c r="C12" s="148"/>
      <c r="D12" s="148"/>
      <c r="E12" s="148"/>
      <c r="F12" s="148"/>
      <c r="G12" s="148"/>
      <c r="H12" s="148"/>
      <c r="I12" s="148"/>
      <c r="J12" s="148"/>
      <c r="K12" s="148"/>
      <c r="L12" s="148"/>
      <c r="M12" s="148"/>
      <c r="N12" s="148"/>
      <c r="O12" s="148"/>
      <c r="P12" s="148"/>
      <c r="Q12" s="148"/>
      <c r="R12" s="148"/>
      <c r="S12" s="148"/>
      <c r="T12" s="148"/>
      <c r="U12" s="148"/>
      <c r="V12" s="148"/>
      <c r="W12" s="148"/>
      <c r="X12" s="141"/>
      <c r="Y12" s="141"/>
      <c r="Z12" s="141"/>
      <c r="AA12" s="141"/>
      <c r="AB12" s="141"/>
      <c r="AC12" s="176" t="s">
        <v>123</v>
      </c>
      <c r="AD12" s="230"/>
      <c r="AE12" s="231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</row>
    <row r="13" spans="1:121" x14ac:dyDescent="0.2">
      <c r="A13" s="141"/>
      <c r="B13" s="141"/>
      <c r="C13" s="148"/>
      <c r="D13" s="148"/>
      <c r="E13" s="148"/>
      <c r="F13" s="148" t="s">
        <v>165</v>
      </c>
      <c r="G13" s="148"/>
      <c r="H13" s="148"/>
      <c r="I13" s="148"/>
      <c r="J13" s="148"/>
      <c r="K13" s="148"/>
      <c r="L13" s="148"/>
      <c r="M13" s="148"/>
      <c r="N13" s="140" t="s">
        <v>130</v>
      </c>
      <c r="O13" s="148"/>
      <c r="P13" s="148"/>
      <c r="Q13" s="148"/>
      <c r="R13" s="148"/>
      <c r="S13" s="148"/>
      <c r="T13" s="148"/>
      <c r="U13" s="148"/>
      <c r="V13" s="148"/>
      <c r="W13" s="148"/>
      <c r="X13" s="141"/>
      <c r="Y13" s="141"/>
      <c r="Z13" s="141"/>
      <c r="AA13" s="141"/>
      <c r="AB13" s="141"/>
      <c r="AC13" s="176" t="s">
        <v>125</v>
      </c>
      <c r="AD13" s="230"/>
      <c r="AE13" s="231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</row>
    <row r="14" spans="1:121" ht="12.75" customHeight="1" x14ac:dyDescent="0.2">
      <c r="A14" s="141"/>
      <c r="B14" s="141"/>
      <c r="C14" s="148"/>
      <c r="D14" s="148"/>
      <c r="E14" s="141"/>
      <c r="F14" s="566" t="s">
        <v>90</v>
      </c>
      <c r="G14" s="141"/>
      <c r="H14" s="566" t="s">
        <v>90</v>
      </c>
      <c r="I14" s="141"/>
      <c r="J14" s="141"/>
      <c r="K14" s="141"/>
      <c r="L14" s="141"/>
      <c r="M14" s="141"/>
      <c r="N14" s="562" t="s">
        <v>90</v>
      </c>
      <c r="O14" s="141"/>
      <c r="P14" s="564" t="s">
        <v>90</v>
      </c>
      <c r="Q14" s="141"/>
      <c r="R14" s="148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555" t="s">
        <v>90</v>
      </c>
      <c r="AD14" s="228"/>
      <c r="AE14" s="141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</row>
    <row r="15" spans="1:121" x14ac:dyDescent="0.2">
      <c r="A15" s="141"/>
      <c r="B15" s="141"/>
      <c r="C15" s="148"/>
      <c r="D15" s="148"/>
      <c r="E15" s="141"/>
      <c r="F15" s="567"/>
      <c r="G15" s="141"/>
      <c r="H15" s="567"/>
      <c r="I15" s="141"/>
      <c r="J15" s="141"/>
      <c r="K15" s="141"/>
      <c r="L15" s="141"/>
      <c r="M15" s="141"/>
      <c r="N15" s="563"/>
      <c r="O15" s="141"/>
      <c r="P15" s="565"/>
      <c r="Q15" s="141"/>
      <c r="R15" s="148"/>
      <c r="S15" s="141"/>
      <c r="T15" s="141"/>
      <c r="U15" s="141"/>
      <c r="V15" s="141"/>
      <c r="W15" s="141"/>
      <c r="X15" s="141"/>
      <c r="Y15" s="141"/>
      <c r="Z15" s="141"/>
      <c r="AA15" s="141"/>
      <c r="AB15" s="141"/>
      <c r="AC15" s="556"/>
      <c r="AD15" s="228"/>
      <c r="AE15" s="141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</row>
    <row r="16" spans="1:121" s="13" customFormat="1" ht="20.100000000000001" customHeight="1" thickBot="1" x14ac:dyDescent="0.25">
      <c r="A16" s="163"/>
      <c r="B16" s="164"/>
      <c r="C16" s="235" t="str">
        <f>Vorgaben!$G$5</f>
        <v>10a  (20/)</v>
      </c>
      <c r="D16" s="235"/>
      <c r="E16" s="236" t="str">
        <f>"Zentrale Prüfung 10 in "&amp;$C$3</f>
        <v>Zentrale Prüfung 10 in Deutsch</v>
      </c>
      <c r="F16" s="237"/>
      <c r="G16" s="235"/>
      <c r="H16" s="237"/>
      <c r="I16" s="237"/>
      <c r="J16" s="237"/>
      <c r="K16" s="237"/>
      <c r="L16" s="237"/>
      <c r="M16" s="237"/>
      <c r="N16" s="237"/>
      <c r="O16" s="237"/>
      <c r="P16" s="237"/>
      <c r="Q16" s="237"/>
      <c r="R16" s="237"/>
      <c r="S16" s="237"/>
      <c r="T16" s="237"/>
      <c r="U16" s="237"/>
      <c r="V16" s="237"/>
      <c r="W16" s="237"/>
      <c r="X16" s="237"/>
      <c r="Y16" s="237"/>
      <c r="Z16" s="238"/>
      <c r="AA16" s="238"/>
      <c r="AB16" s="238"/>
      <c r="AC16" s="239"/>
      <c r="AD16" s="240"/>
      <c r="AE16" s="154"/>
    </row>
    <row r="17" spans="1:31" s="13" customFormat="1" ht="18" customHeight="1" thickTop="1" x14ac:dyDescent="0.2">
      <c r="A17" s="160"/>
      <c r="B17" s="161"/>
      <c r="C17" s="162">
        <f ca="1">NOW()</f>
        <v>43536.408713773148</v>
      </c>
      <c r="D17" s="162"/>
      <c r="E17" s="241" t="s">
        <v>49</v>
      </c>
      <c r="F17" s="242"/>
      <c r="G17" s="243" t="s">
        <v>87</v>
      </c>
      <c r="H17" s="244"/>
      <c r="I17" s="243" t="s">
        <v>11</v>
      </c>
      <c r="J17" s="243"/>
      <c r="K17" s="557" t="s">
        <v>58</v>
      </c>
      <c r="L17" s="558"/>
      <c r="M17" s="558"/>
      <c r="N17" s="558"/>
      <c r="O17" s="558"/>
      <c r="P17" s="559"/>
      <c r="Q17" s="245"/>
      <c r="R17" s="243"/>
      <c r="S17" s="379"/>
      <c r="T17" s="243" t="s">
        <v>55</v>
      </c>
      <c r="U17" s="243"/>
      <c r="V17" s="243"/>
      <c r="W17" s="243"/>
      <c r="X17" s="243"/>
      <c r="Y17" s="247"/>
      <c r="Z17" s="248" t="s">
        <v>126</v>
      </c>
      <c r="AA17" s="249"/>
      <c r="AB17" s="238"/>
      <c r="AC17" s="239"/>
      <c r="AD17" s="240"/>
      <c r="AE17" s="154"/>
    </row>
    <row r="18" spans="1:31" s="13" customFormat="1" ht="18" customHeight="1" thickBot="1" x14ac:dyDescent="0.25">
      <c r="A18" s="163"/>
      <c r="B18" s="164"/>
      <c r="C18" s="165" t="s">
        <v>56</v>
      </c>
      <c r="D18" s="166" t="s">
        <v>57</v>
      </c>
      <c r="E18" s="250" t="s">
        <v>50</v>
      </c>
      <c r="F18" s="251"/>
      <c r="G18" s="252" t="s">
        <v>88</v>
      </c>
      <c r="H18" s="253"/>
      <c r="I18" s="252" t="s">
        <v>128</v>
      </c>
      <c r="J18" s="254"/>
      <c r="K18" s="255"/>
      <c r="L18" s="256" t="s">
        <v>51</v>
      </c>
      <c r="M18" s="257" t="s">
        <v>52</v>
      </c>
      <c r="N18" s="252"/>
      <c r="O18" s="257" t="s">
        <v>53</v>
      </c>
      <c r="P18" s="252"/>
      <c r="Q18" s="258" t="s">
        <v>54</v>
      </c>
      <c r="R18" s="254"/>
      <c r="S18" s="259"/>
      <c r="T18" s="277">
        <v>0</v>
      </c>
      <c r="U18" s="259"/>
      <c r="V18" s="277">
        <v>1</v>
      </c>
      <c r="W18" s="259"/>
      <c r="X18" s="277">
        <v>2</v>
      </c>
      <c r="Y18" s="262" t="s">
        <v>50</v>
      </c>
      <c r="Z18" s="263"/>
      <c r="AA18" s="249"/>
      <c r="AB18" s="238"/>
      <c r="AC18" s="239"/>
      <c r="AD18" s="240"/>
      <c r="AE18" s="154"/>
    </row>
    <row r="19" spans="1:31" s="13" customFormat="1" ht="20.100000000000001" customHeight="1" thickTop="1" x14ac:dyDescent="0.2">
      <c r="A19" s="167">
        <v>1</v>
      </c>
      <c r="B19" s="168"/>
      <c r="C19" s="169" t="s">
        <v>129</v>
      </c>
      <c r="D19" s="169" t="s">
        <v>120</v>
      </c>
      <c r="E19" s="267"/>
      <c r="F19" s="380">
        <v>1</v>
      </c>
      <c r="G19" s="270"/>
      <c r="H19" s="380">
        <v>1</v>
      </c>
      <c r="I19" s="181"/>
      <c r="J19" s="381">
        <f t="shared" ref="J19:J54" si="0">IF($C19&lt;&gt;"",IF(AND(F19&lt;&gt;"",H19&lt;&gt;""),ABS(F19-H19),0),"")</f>
        <v>0</v>
      </c>
      <c r="K19" s="183"/>
      <c r="L19" s="184" t="str">
        <f>IF($C19&lt;&gt;"",IF(J19&lt;2,"- -",IF(J19=2,"frw.","x")),"")</f>
        <v>- -</v>
      </c>
      <c r="M19" s="305"/>
      <c r="N19" s="382"/>
      <c r="O19" s="305"/>
      <c r="P19" s="383"/>
      <c r="Q19" s="384"/>
      <c r="R19" s="198" t="str">
        <f>IF($C19&lt;&gt;"",IF(OR(L19="x",N19="j"),IF(P19="","- -",(5*$F19+3*$H19+2*$P19)/10),"- -"),"")</f>
        <v>- -</v>
      </c>
      <c r="S19" s="385"/>
      <c r="T19" s="386">
        <f>IF($C19&lt;&gt;"",IF(J19=0,H19,"- -"),"")</f>
        <v>1</v>
      </c>
      <c r="U19" s="385"/>
      <c r="V19" s="387" t="str">
        <f>IF($C19&lt;&gt;"",IF(J19&lt;&gt;1,"- -",IF(AND($AC19&lt;&gt;"",$AD19=""),$AC19,"f")),"")</f>
        <v>- -</v>
      </c>
      <c r="W19" s="388"/>
      <c r="X19" s="389" t="str">
        <f>IF($C19&lt;&gt;"",IF(AND(J19=2,N19="n"),(F19+H19)/2,"- -"),"")</f>
        <v>- -</v>
      </c>
      <c r="Y19" s="203"/>
      <c r="Z19" s="204" t="str">
        <f>IF($C19&lt;&gt;"",IF(OR(F19="",H19=""),"",IF(OR(R19="- -",R19=""),"",ROUND(R19-0.05,0))&amp;IF(T19="- -","",T19)&amp;IF(OR(V19="- -",V19="f"),"",V19)&amp;IF(X19="- -","",X19)),"")</f>
        <v>1</v>
      </c>
      <c r="AA19" s="205">
        <f t="shared" ref="AA19:AA54" si="1">IF(Z19="","",VALUE(Z19))</f>
        <v>1</v>
      </c>
      <c r="AB19" s="178"/>
      <c r="AC19" s="390"/>
      <c r="AD19" s="223" t="str">
        <f>IF($C19&lt;&gt;"",IF(AND($J19=1,$AC19&lt;&gt;"",$AC19&lt;&gt;$F19,$AC19&lt;&gt;$H19),"falsche Zensur",IF(AND($J19=1,AC19=""),"fehlende Zensur","")),"")</f>
        <v/>
      </c>
      <c r="AE19" s="154"/>
    </row>
    <row r="20" spans="1:31" s="13" customFormat="1" ht="20.100000000000001" customHeight="1" x14ac:dyDescent="0.2">
      <c r="A20" s="167">
        <v>2</v>
      </c>
      <c r="B20" s="168"/>
      <c r="C20" s="170" t="s">
        <v>60</v>
      </c>
      <c r="D20" s="170" t="s">
        <v>121</v>
      </c>
      <c r="E20" s="391"/>
      <c r="F20" s="392">
        <v>2</v>
      </c>
      <c r="G20" s="393"/>
      <c r="H20" s="392">
        <v>1</v>
      </c>
      <c r="I20" s="394"/>
      <c r="J20" s="395">
        <f t="shared" si="0"/>
        <v>1</v>
      </c>
      <c r="K20" s="265"/>
      <c r="L20" s="266" t="str">
        <f t="shared" ref="L20:L45" si="2">IF($C20&lt;&gt;"",IF(J20&lt;2,"- -",IF(J20=2,"frw.","x")),"")</f>
        <v>- -</v>
      </c>
      <c r="M20" s="314"/>
      <c r="N20" s="396"/>
      <c r="O20" s="314"/>
      <c r="P20" s="397"/>
      <c r="Q20" s="398"/>
      <c r="R20" s="206" t="str">
        <f t="shared" ref="R20:R45" si="3">IF($C20&lt;&gt;"",IF(OR(L20="x",N20="j"),IF(P20="","- -",(5*$F20+3*$H20+2*$P20)/10),"- -"),"")</f>
        <v>- -</v>
      </c>
      <c r="S20" s="399"/>
      <c r="T20" s="400" t="str">
        <f t="shared" ref="T20:T45" si="4">IF($C20&lt;&gt;"",IF(J20=0,H20,"- -"),"")</f>
        <v>- -</v>
      </c>
      <c r="U20" s="399"/>
      <c r="V20" s="401" t="str">
        <f t="shared" ref="V20:V45" si="5">IF($C20&lt;&gt;"",IF(J20&lt;&gt;1,"- -",IF(AND($AC20&lt;&gt;"",$AD20=""),$AC20,"f")),"")</f>
        <v>f</v>
      </c>
      <c r="W20" s="402"/>
      <c r="X20" s="401" t="str">
        <f t="shared" ref="X20:X45" si="6">IF($C20&lt;&gt;"",IF(AND(J20=2,N20="n"),(F20+H20)/2,"- -"),"")</f>
        <v>- -</v>
      </c>
      <c r="Y20" s="210"/>
      <c r="Z20" s="211" t="str">
        <f t="shared" ref="Z20:Z45" si="7">IF($C20&lt;&gt;"",IF(OR(F20="",H20=""),"",IF(OR(R20="- -",R20=""),"",ROUND(R20-0.05,0))&amp;IF(T20="- -","",T20)&amp;IF(OR(V20="- -",V20="f"),"",V20)&amp;IF(X20="- -","",X20)),"")</f>
        <v/>
      </c>
      <c r="AA20" s="205" t="str">
        <f t="shared" si="1"/>
        <v/>
      </c>
      <c r="AB20" s="178"/>
      <c r="AC20" s="390"/>
      <c r="AD20" s="223" t="str">
        <f t="shared" ref="AD20:AD45" si="8">IF($C20&lt;&gt;"",IF(AND($J20=1,$AC20&lt;&gt;"",$AC20&lt;&gt;$F20,$AC20&lt;&gt;$H20),"falsche Zensur",IF(AND($J20=1,AC20=""),"fehlende Zensur","")),"")</f>
        <v>fehlende Zensur</v>
      </c>
      <c r="AE20" s="154"/>
    </row>
    <row r="21" spans="1:31" s="13" customFormat="1" ht="20.100000000000001" customHeight="1" x14ac:dyDescent="0.2">
      <c r="A21" s="167">
        <v>3</v>
      </c>
      <c r="B21" s="168"/>
      <c r="C21" s="170" t="s">
        <v>61</v>
      </c>
      <c r="D21" s="170" t="s">
        <v>95</v>
      </c>
      <c r="E21" s="391"/>
      <c r="F21" s="392">
        <v>3</v>
      </c>
      <c r="G21" s="393"/>
      <c r="H21" s="392">
        <v>1</v>
      </c>
      <c r="I21" s="394"/>
      <c r="J21" s="395">
        <f t="shared" si="0"/>
        <v>2</v>
      </c>
      <c r="K21" s="265"/>
      <c r="L21" s="266" t="str">
        <f t="shared" si="2"/>
        <v>frw.</v>
      </c>
      <c r="M21" s="314"/>
      <c r="N21" s="396"/>
      <c r="O21" s="314"/>
      <c r="P21" s="397"/>
      <c r="Q21" s="398"/>
      <c r="R21" s="206" t="str">
        <f t="shared" si="3"/>
        <v>- -</v>
      </c>
      <c r="S21" s="399"/>
      <c r="T21" s="400" t="str">
        <f t="shared" si="4"/>
        <v>- -</v>
      </c>
      <c r="U21" s="399"/>
      <c r="V21" s="401" t="str">
        <f t="shared" si="5"/>
        <v>- -</v>
      </c>
      <c r="W21" s="402"/>
      <c r="X21" s="401" t="str">
        <f t="shared" si="6"/>
        <v>- -</v>
      </c>
      <c r="Y21" s="210"/>
      <c r="Z21" s="211" t="str">
        <f t="shared" si="7"/>
        <v/>
      </c>
      <c r="AA21" s="205" t="str">
        <f t="shared" si="1"/>
        <v/>
      </c>
      <c r="AB21" s="178"/>
      <c r="AC21" s="390"/>
      <c r="AD21" s="223" t="str">
        <f t="shared" si="8"/>
        <v/>
      </c>
      <c r="AE21" s="154"/>
    </row>
    <row r="22" spans="1:31" s="13" customFormat="1" ht="20.100000000000001" customHeight="1" x14ac:dyDescent="0.2">
      <c r="A22" s="167">
        <v>4</v>
      </c>
      <c r="B22" s="168"/>
      <c r="C22" s="170" t="s">
        <v>62</v>
      </c>
      <c r="D22" s="170" t="s">
        <v>96</v>
      </c>
      <c r="E22" s="391"/>
      <c r="F22" s="392">
        <v>4</v>
      </c>
      <c r="G22" s="393"/>
      <c r="H22" s="392">
        <v>1</v>
      </c>
      <c r="I22" s="394"/>
      <c r="J22" s="395">
        <f t="shared" si="0"/>
        <v>3</v>
      </c>
      <c r="K22" s="265"/>
      <c r="L22" s="266" t="str">
        <f t="shared" si="2"/>
        <v>x</v>
      </c>
      <c r="M22" s="314"/>
      <c r="N22" s="396"/>
      <c r="O22" s="314"/>
      <c r="P22" s="397"/>
      <c r="Q22" s="398"/>
      <c r="R22" s="206" t="str">
        <f t="shared" si="3"/>
        <v>- -</v>
      </c>
      <c r="S22" s="399"/>
      <c r="T22" s="400" t="str">
        <f t="shared" si="4"/>
        <v>- -</v>
      </c>
      <c r="U22" s="399"/>
      <c r="V22" s="401" t="str">
        <f t="shared" si="5"/>
        <v>- -</v>
      </c>
      <c r="W22" s="402"/>
      <c r="X22" s="401" t="str">
        <f t="shared" si="6"/>
        <v>- -</v>
      </c>
      <c r="Y22" s="210"/>
      <c r="Z22" s="211" t="str">
        <f t="shared" si="7"/>
        <v/>
      </c>
      <c r="AA22" s="205" t="str">
        <f t="shared" si="1"/>
        <v/>
      </c>
      <c r="AB22" s="178"/>
      <c r="AC22" s="390"/>
      <c r="AD22" s="223" t="str">
        <f t="shared" si="8"/>
        <v/>
      </c>
      <c r="AE22" s="154"/>
    </row>
    <row r="23" spans="1:31" s="13" customFormat="1" ht="20.100000000000001" customHeight="1" x14ac:dyDescent="0.2">
      <c r="A23" s="167">
        <v>5</v>
      </c>
      <c r="B23" s="168"/>
      <c r="C23" s="170" t="s">
        <v>63</v>
      </c>
      <c r="D23" s="170" t="s">
        <v>97</v>
      </c>
      <c r="E23" s="391"/>
      <c r="F23" s="392">
        <v>5</v>
      </c>
      <c r="G23" s="393"/>
      <c r="H23" s="392">
        <v>1</v>
      </c>
      <c r="I23" s="394"/>
      <c r="J23" s="395">
        <f t="shared" si="0"/>
        <v>4</v>
      </c>
      <c r="K23" s="265"/>
      <c r="L23" s="266" t="str">
        <f t="shared" si="2"/>
        <v>x</v>
      </c>
      <c r="M23" s="314"/>
      <c r="N23" s="396"/>
      <c r="O23" s="314"/>
      <c r="P23" s="397"/>
      <c r="Q23" s="398"/>
      <c r="R23" s="206" t="str">
        <f t="shared" si="3"/>
        <v>- -</v>
      </c>
      <c r="S23" s="399"/>
      <c r="T23" s="400" t="str">
        <f t="shared" si="4"/>
        <v>- -</v>
      </c>
      <c r="U23" s="399"/>
      <c r="V23" s="401" t="str">
        <f t="shared" si="5"/>
        <v>- -</v>
      </c>
      <c r="W23" s="402"/>
      <c r="X23" s="401" t="str">
        <f t="shared" si="6"/>
        <v>- -</v>
      </c>
      <c r="Y23" s="210"/>
      <c r="Z23" s="211" t="str">
        <f t="shared" si="7"/>
        <v/>
      </c>
      <c r="AA23" s="205" t="str">
        <f t="shared" si="1"/>
        <v/>
      </c>
      <c r="AB23" s="178"/>
      <c r="AC23" s="390"/>
      <c r="AD23" s="223" t="str">
        <f t="shared" si="8"/>
        <v/>
      </c>
      <c r="AE23" s="154"/>
    </row>
    <row r="24" spans="1:31" s="13" customFormat="1" ht="20.100000000000001" customHeight="1" x14ac:dyDescent="0.2">
      <c r="A24" s="167">
        <v>6</v>
      </c>
      <c r="B24" s="168"/>
      <c r="C24" s="170" t="s">
        <v>64</v>
      </c>
      <c r="D24" s="170" t="s">
        <v>98</v>
      </c>
      <c r="E24" s="391"/>
      <c r="F24" s="392">
        <v>6</v>
      </c>
      <c r="G24" s="393"/>
      <c r="H24" s="392">
        <v>1</v>
      </c>
      <c r="I24" s="394"/>
      <c r="J24" s="395">
        <f t="shared" si="0"/>
        <v>5</v>
      </c>
      <c r="K24" s="265"/>
      <c r="L24" s="266" t="str">
        <f t="shared" si="2"/>
        <v>x</v>
      </c>
      <c r="M24" s="314"/>
      <c r="N24" s="396"/>
      <c r="O24" s="314"/>
      <c r="P24" s="397"/>
      <c r="Q24" s="398"/>
      <c r="R24" s="206" t="str">
        <f t="shared" si="3"/>
        <v>- -</v>
      </c>
      <c r="S24" s="399"/>
      <c r="T24" s="400" t="str">
        <f t="shared" si="4"/>
        <v>- -</v>
      </c>
      <c r="U24" s="399"/>
      <c r="V24" s="401" t="str">
        <f t="shared" si="5"/>
        <v>- -</v>
      </c>
      <c r="W24" s="402"/>
      <c r="X24" s="401" t="str">
        <f t="shared" si="6"/>
        <v>- -</v>
      </c>
      <c r="Y24" s="210"/>
      <c r="Z24" s="211" t="str">
        <f t="shared" si="7"/>
        <v/>
      </c>
      <c r="AA24" s="205" t="str">
        <f t="shared" si="1"/>
        <v/>
      </c>
      <c r="AB24" s="178"/>
      <c r="AC24" s="390"/>
      <c r="AD24" s="223" t="str">
        <f t="shared" si="8"/>
        <v/>
      </c>
      <c r="AE24" s="154"/>
    </row>
    <row r="25" spans="1:31" s="13" customFormat="1" ht="20.100000000000001" customHeight="1" x14ac:dyDescent="0.2">
      <c r="A25" s="167">
        <v>7</v>
      </c>
      <c r="B25" s="168"/>
      <c r="C25" s="170" t="s">
        <v>65</v>
      </c>
      <c r="D25" s="170" t="s">
        <v>99</v>
      </c>
      <c r="E25" s="391"/>
      <c r="F25" s="392">
        <v>1</v>
      </c>
      <c r="G25" s="393"/>
      <c r="H25" s="392">
        <v>2</v>
      </c>
      <c r="I25" s="394"/>
      <c r="J25" s="395">
        <f t="shared" si="0"/>
        <v>1</v>
      </c>
      <c r="K25" s="265"/>
      <c r="L25" s="266" t="str">
        <f t="shared" si="2"/>
        <v>- -</v>
      </c>
      <c r="M25" s="314"/>
      <c r="N25" s="396"/>
      <c r="O25" s="314"/>
      <c r="P25" s="397"/>
      <c r="Q25" s="398"/>
      <c r="R25" s="206" t="str">
        <f t="shared" si="3"/>
        <v>- -</v>
      </c>
      <c r="S25" s="399"/>
      <c r="T25" s="400" t="str">
        <f t="shared" si="4"/>
        <v>- -</v>
      </c>
      <c r="U25" s="399"/>
      <c r="V25" s="401">
        <f t="shared" si="5"/>
        <v>1</v>
      </c>
      <c r="W25" s="402"/>
      <c r="X25" s="401" t="str">
        <f t="shared" si="6"/>
        <v>- -</v>
      </c>
      <c r="Y25" s="210"/>
      <c r="Z25" s="211" t="str">
        <f t="shared" si="7"/>
        <v>1</v>
      </c>
      <c r="AA25" s="205">
        <f t="shared" si="1"/>
        <v>1</v>
      </c>
      <c r="AB25" s="178"/>
      <c r="AC25" s="390">
        <v>1</v>
      </c>
      <c r="AD25" s="223" t="str">
        <f t="shared" si="8"/>
        <v/>
      </c>
      <c r="AE25" s="154"/>
    </row>
    <row r="26" spans="1:31" s="13" customFormat="1" ht="20.100000000000001" customHeight="1" x14ac:dyDescent="0.2">
      <c r="A26" s="167">
        <v>8</v>
      </c>
      <c r="B26" s="168"/>
      <c r="C26" s="170" t="s">
        <v>66</v>
      </c>
      <c r="D26" s="170" t="s">
        <v>100</v>
      </c>
      <c r="E26" s="391"/>
      <c r="F26" s="392">
        <v>2</v>
      </c>
      <c r="G26" s="393"/>
      <c r="H26" s="392">
        <v>2</v>
      </c>
      <c r="I26" s="394"/>
      <c r="J26" s="395">
        <f t="shared" si="0"/>
        <v>0</v>
      </c>
      <c r="K26" s="265"/>
      <c r="L26" s="266" t="str">
        <f t="shared" si="2"/>
        <v>- -</v>
      </c>
      <c r="M26" s="314"/>
      <c r="N26" s="396"/>
      <c r="O26" s="314"/>
      <c r="P26" s="397"/>
      <c r="Q26" s="398"/>
      <c r="R26" s="206" t="str">
        <f t="shared" si="3"/>
        <v>- -</v>
      </c>
      <c r="S26" s="399"/>
      <c r="T26" s="400">
        <f t="shared" si="4"/>
        <v>2</v>
      </c>
      <c r="U26" s="399"/>
      <c r="V26" s="401" t="str">
        <f t="shared" si="5"/>
        <v>- -</v>
      </c>
      <c r="W26" s="402"/>
      <c r="X26" s="401" t="str">
        <f t="shared" si="6"/>
        <v>- -</v>
      </c>
      <c r="Y26" s="210"/>
      <c r="Z26" s="211" t="str">
        <f t="shared" si="7"/>
        <v>2</v>
      </c>
      <c r="AA26" s="205">
        <f t="shared" si="1"/>
        <v>2</v>
      </c>
      <c r="AB26" s="178"/>
      <c r="AC26" s="390"/>
      <c r="AD26" s="223" t="str">
        <f t="shared" si="8"/>
        <v/>
      </c>
      <c r="AE26" s="154"/>
    </row>
    <row r="27" spans="1:31" s="13" customFormat="1" ht="20.100000000000001" customHeight="1" x14ac:dyDescent="0.2">
      <c r="A27" s="167">
        <v>9</v>
      </c>
      <c r="B27" s="168"/>
      <c r="C27" s="170" t="s">
        <v>67</v>
      </c>
      <c r="D27" s="170" t="s">
        <v>101</v>
      </c>
      <c r="E27" s="391"/>
      <c r="F27" s="392">
        <v>3</v>
      </c>
      <c r="G27" s="393"/>
      <c r="H27" s="392">
        <v>2</v>
      </c>
      <c r="I27" s="394"/>
      <c r="J27" s="395">
        <f t="shared" si="0"/>
        <v>1</v>
      </c>
      <c r="K27" s="265"/>
      <c r="L27" s="266" t="str">
        <f t="shared" si="2"/>
        <v>- -</v>
      </c>
      <c r="M27" s="314"/>
      <c r="N27" s="396"/>
      <c r="O27" s="314"/>
      <c r="P27" s="397"/>
      <c r="Q27" s="398"/>
      <c r="R27" s="206" t="str">
        <f t="shared" si="3"/>
        <v>- -</v>
      </c>
      <c r="S27" s="399"/>
      <c r="T27" s="400" t="str">
        <f t="shared" si="4"/>
        <v>- -</v>
      </c>
      <c r="U27" s="399"/>
      <c r="V27" s="401" t="str">
        <f t="shared" si="5"/>
        <v>f</v>
      </c>
      <c r="W27" s="402"/>
      <c r="X27" s="401" t="str">
        <f t="shared" si="6"/>
        <v>- -</v>
      </c>
      <c r="Y27" s="210"/>
      <c r="Z27" s="211" t="str">
        <f t="shared" si="7"/>
        <v/>
      </c>
      <c r="AA27" s="205" t="str">
        <f t="shared" si="1"/>
        <v/>
      </c>
      <c r="AB27" s="178"/>
      <c r="AC27" s="390">
        <v>4</v>
      </c>
      <c r="AD27" s="223" t="str">
        <f t="shared" si="8"/>
        <v>falsche Zensur</v>
      </c>
      <c r="AE27" s="154"/>
    </row>
    <row r="28" spans="1:31" s="13" customFormat="1" ht="20.100000000000001" customHeight="1" x14ac:dyDescent="0.2">
      <c r="A28" s="167">
        <v>10</v>
      </c>
      <c r="B28" s="168"/>
      <c r="C28" s="170" t="s">
        <v>68</v>
      </c>
      <c r="D28" s="170" t="s">
        <v>102</v>
      </c>
      <c r="E28" s="391"/>
      <c r="F28" s="392">
        <v>4</v>
      </c>
      <c r="G28" s="393"/>
      <c r="H28" s="392">
        <v>2</v>
      </c>
      <c r="I28" s="394"/>
      <c r="J28" s="395">
        <f t="shared" si="0"/>
        <v>2</v>
      </c>
      <c r="K28" s="265"/>
      <c r="L28" s="266" t="str">
        <f t="shared" si="2"/>
        <v>frw.</v>
      </c>
      <c r="M28" s="314"/>
      <c r="N28" s="396" t="s">
        <v>197</v>
      </c>
      <c r="O28" s="314"/>
      <c r="P28" s="397"/>
      <c r="Q28" s="398"/>
      <c r="R28" s="206" t="str">
        <f t="shared" si="3"/>
        <v>- -</v>
      </c>
      <c r="S28" s="399"/>
      <c r="T28" s="400" t="str">
        <f t="shared" si="4"/>
        <v>- -</v>
      </c>
      <c r="U28" s="399"/>
      <c r="V28" s="401" t="str">
        <f t="shared" si="5"/>
        <v>- -</v>
      </c>
      <c r="W28" s="402"/>
      <c r="X28" s="401">
        <f t="shared" si="6"/>
        <v>3</v>
      </c>
      <c r="Y28" s="210"/>
      <c r="Z28" s="211" t="str">
        <f t="shared" si="7"/>
        <v>3</v>
      </c>
      <c r="AA28" s="205">
        <f t="shared" si="1"/>
        <v>3</v>
      </c>
      <c r="AB28" s="178"/>
      <c r="AC28" s="390"/>
      <c r="AD28" s="223" t="str">
        <f t="shared" si="8"/>
        <v/>
      </c>
      <c r="AE28" s="154"/>
    </row>
    <row r="29" spans="1:31" s="13" customFormat="1" ht="20.100000000000001" customHeight="1" x14ac:dyDescent="0.2">
      <c r="A29" s="167">
        <v>11</v>
      </c>
      <c r="B29" s="168"/>
      <c r="C29" s="170" t="s">
        <v>69</v>
      </c>
      <c r="D29" s="170" t="s">
        <v>103</v>
      </c>
      <c r="E29" s="391"/>
      <c r="F29" s="392">
        <v>5</v>
      </c>
      <c r="G29" s="393"/>
      <c r="H29" s="392">
        <v>2</v>
      </c>
      <c r="I29" s="394"/>
      <c r="J29" s="395">
        <f t="shared" si="0"/>
        <v>3</v>
      </c>
      <c r="K29" s="265"/>
      <c r="L29" s="266" t="str">
        <f t="shared" si="2"/>
        <v>x</v>
      </c>
      <c r="M29" s="314"/>
      <c r="N29" s="396"/>
      <c r="O29" s="314"/>
      <c r="P29" s="397"/>
      <c r="Q29" s="398"/>
      <c r="R29" s="206" t="str">
        <f t="shared" si="3"/>
        <v>- -</v>
      </c>
      <c r="S29" s="399"/>
      <c r="T29" s="400" t="str">
        <f t="shared" si="4"/>
        <v>- -</v>
      </c>
      <c r="U29" s="399"/>
      <c r="V29" s="401" t="str">
        <f t="shared" si="5"/>
        <v>- -</v>
      </c>
      <c r="W29" s="402"/>
      <c r="X29" s="401" t="str">
        <f t="shared" si="6"/>
        <v>- -</v>
      </c>
      <c r="Y29" s="210"/>
      <c r="Z29" s="211" t="str">
        <f t="shared" si="7"/>
        <v/>
      </c>
      <c r="AA29" s="205" t="str">
        <f t="shared" si="1"/>
        <v/>
      </c>
      <c r="AB29" s="178"/>
      <c r="AC29" s="390"/>
      <c r="AD29" s="223" t="str">
        <f t="shared" si="8"/>
        <v/>
      </c>
      <c r="AE29" s="154"/>
    </row>
    <row r="30" spans="1:31" s="13" customFormat="1" ht="20.100000000000001" customHeight="1" x14ac:dyDescent="0.2">
      <c r="A30" s="167">
        <v>12</v>
      </c>
      <c r="B30" s="168"/>
      <c r="C30" s="170" t="s">
        <v>70</v>
      </c>
      <c r="D30" s="170" t="s">
        <v>104</v>
      </c>
      <c r="E30" s="391"/>
      <c r="F30" s="392">
        <v>6</v>
      </c>
      <c r="G30" s="393"/>
      <c r="H30" s="392">
        <v>2</v>
      </c>
      <c r="I30" s="394"/>
      <c r="J30" s="395">
        <f t="shared" si="0"/>
        <v>4</v>
      </c>
      <c r="K30" s="265"/>
      <c r="L30" s="266" t="str">
        <f t="shared" si="2"/>
        <v>x</v>
      </c>
      <c r="M30" s="314"/>
      <c r="N30" s="396"/>
      <c r="O30" s="314"/>
      <c r="P30" s="397"/>
      <c r="Q30" s="398"/>
      <c r="R30" s="206" t="str">
        <f t="shared" si="3"/>
        <v>- -</v>
      </c>
      <c r="S30" s="399"/>
      <c r="T30" s="400" t="str">
        <f t="shared" si="4"/>
        <v>- -</v>
      </c>
      <c r="U30" s="399"/>
      <c r="V30" s="401" t="str">
        <f t="shared" si="5"/>
        <v>- -</v>
      </c>
      <c r="W30" s="402"/>
      <c r="X30" s="401" t="str">
        <f t="shared" si="6"/>
        <v>- -</v>
      </c>
      <c r="Y30" s="210"/>
      <c r="Z30" s="211" t="str">
        <f t="shared" si="7"/>
        <v/>
      </c>
      <c r="AA30" s="205" t="str">
        <f t="shared" si="1"/>
        <v/>
      </c>
      <c r="AB30" s="178"/>
      <c r="AC30" s="390"/>
      <c r="AD30" s="223" t="str">
        <f t="shared" si="8"/>
        <v/>
      </c>
      <c r="AE30" s="154"/>
    </row>
    <row r="31" spans="1:31" s="13" customFormat="1" ht="20.100000000000001" customHeight="1" x14ac:dyDescent="0.2">
      <c r="A31" s="167">
        <v>13</v>
      </c>
      <c r="B31" s="168"/>
      <c r="C31" s="170" t="s">
        <v>71</v>
      </c>
      <c r="D31" s="170" t="s">
        <v>105</v>
      </c>
      <c r="E31" s="391"/>
      <c r="F31" s="392">
        <v>1</v>
      </c>
      <c r="G31" s="393"/>
      <c r="H31" s="392">
        <v>3</v>
      </c>
      <c r="I31" s="394"/>
      <c r="J31" s="395">
        <f t="shared" si="0"/>
        <v>2</v>
      </c>
      <c r="K31" s="265"/>
      <c r="L31" s="266" t="str">
        <f t="shared" si="2"/>
        <v>frw.</v>
      </c>
      <c r="M31" s="314"/>
      <c r="N31" s="396" t="s">
        <v>193</v>
      </c>
      <c r="O31" s="314"/>
      <c r="P31" s="397">
        <v>3</v>
      </c>
      <c r="Q31" s="398"/>
      <c r="R31" s="206">
        <f t="shared" si="3"/>
        <v>2</v>
      </c>
      <c r="S31" s="399"/>
      <c r="T31" s="400" t="str">
        <f t="shared" si="4"/>
        <v>- -</v>
      </c>
      <c r="U31" s="399"/>
      <c r="V31" s="401" t="str">
        <f t="shared" si="5"/>
        <v>- -</v>
      </c>
      <c r="W31" s="402"/>
      <c r="X31" s="401" t="str">
        <f t="shared" si="6"/>
        <v>- -</v>
      </c>
      <c r="Y31" s="210"/>
      <c r="Z31" s="211" t="str">
        <f t="shared" si="7"/>
        <v>2</v>
      </c>
      <c r="AA31" s="205">
        <f t="shared" si="1"/>
        <v>2</v>
      </c>
      <c r="AB31" s="178"/>
      <c r="AC31" s="390"/>
      <c r="AD31" s="223" t="str">
        <f t="shared" si="8"/>
        <v/>
      </c>
      <c r="AE31" s="154"/>
    </row>
    <row r="32" spans="1:31" s="13" customFormat="1" ht="20.100000000000001" customHeight="1" x14ac:dyDescent="0.2">
      <c r="A32" s="167">
        <v>14</v>
      </c>
      <c r="B32" s="168"/>
      <c r="C32" s="170" t="s">
        <v>72</v>
      </c>
      <c r="D32" s="170" t="s">
        <v>106</v>
      </c>
      <c r="E32" s="391"/>
      <c r="F32" s="392">
        <v>2</v>
      </c>
      <c r="G32" s="393"/>
      <c r="H32" s="392">
        <v>3</v>
      </c>
      <c r="I32" s="394"/>
      <c r="J32" s="395">
        <f t="shared" si="0"/>
        <v>1</v>
      </c>
      <c r="K32" s="265"/>
      <c r="L32" s="266" t="str">
        <f t="shared" si="2"/>
        <v>- -</v>
      </c>
      <c r="M32" s="314"/>
      <c r="N32" s="396"/>
      <c r="O32" s="314"/>
      <c r="P32" s="397"/>
      <c r="Q32" s="398"/>
      <c r="R32" s="206" t="str">
        <f t="shared" si="3"/>
        <v>- -</v>
      </c>
      <c r="S32" s="399"/>
      <c r="T32" s="400" t="str">
        <f t="shared" si="4"/>
        <v>- -</v>
      </c>
      <c r="U32" s="399"/>
      <c r="V32" s="401" t="str">
        <f t="shared" si="5"/>
        <v>f</v>
      </c>
      <c r="W32" s="402"/>
      <c r="X32" s="401" t="str">
        <f t="shared" si="6"/>
        <v>- -</v>
      </c>
      <c r="Y32" s="210"/>
      <c r="Z32" s="211" t="str">
        <f t="shared" si="7"/>
        <v/>
      </c>
      <c r="AA32" s="205" t="str">
        <f t="shared" si="1"/>
        <v/>
      </c>
      <c r="AB32" s="178"/>
      <c r="AC32" s="390"/>
      <c r="AD32" s="223" t="str">
        <f t="shared" si="8"/>
        <v>fehlende Zensur</v>
      </c>
      <c r="AE32" s="154"/>
    </row>
    <row r="33" spans="1:31" s="13" customFormat="1" ht="20.100000000000001" customHeight="1" x14ac:dyDescent="0.2">
      <c r="A33" s="167">
        <v>15</v>
      </c>
      <c r="B33" s="168"/>
      <c r="C33" s="170" t="s">
        <v>73</v>
      </c>
      <c r="D33" s="170" t="s">
        <v>107</v>
      </c>
      <c r="E33" s="391"/>
      <c r="F33" s="392">
        <v>3</v>
      </c>
      <c r="G33" s="393"/>
      <c r="H33" s="392">
        <v>3</v>
      </c>
      <c r="I33" s="394"/>
      <c r="J33" s="395">
        <f t="shared" si="0"/>
        <v>0</v>
      </c>
      <c r="K33" s="265"/>
      <c r="L33" s="266" t="str">
        <f t="shared" si="2"/>
        <v>- -</v>
      </c>
      <c r="M33" s="314"/>
      <c r="N33" s="396"/>
      <c r="O33" s="314"/>
      <c r="P33" s="397"/>
      <c r="Q33" s="398"/>
      <c r="R33" s="206" t="str">
        <f t="shared" si="3"/>
        <v>- -</v>
      </c>
      <c r="S33" s="399"/>
      <c r="T33" s="400">
        <f t="shared" si="4"/>
        <v>3</v>
      </c>
      <c r="U33" s="399"/>
      <c r="V33" s="401" t="str">
        <f t="shared" si="5"/>
        <v>- -</v>
      </c>
      <c r="W33" s="402"/>
      <c r="X33" s="401" t="str">
        <f t="shared" si="6"/>
        <v>- -</v>
      </c>
      <c r="Y33" s="210"/>
      <c r="Z33" s="211" t="str">
        <f t="shared" si="7"/>
        <v>3</v>
      </c>
      <c r="AA33" s="205">
        <f t="shared" si="1"/>
        <v>3</v>
      </c>
      <c r="AB33" s="178"/>
      <c r="AC33" s="390"/>
      <c r="AD33" s="223" t="str">
        <f t="shared" si="8"/>
        <v/>
      </c>
      <c r="AE33" s="154"/>
    </row>
    <row r="34" spans="1:31" s="13" customFormat="1" ht="20.100000000000001" customHeight="1" x14ac:dyDescent="0.2">
      <c r="A34" s="167">
        <v>16</v>
      </c>
      <c r="B34" s="168"/>
      <c r="C34" s="170" t="s">
        <v>74</v>
      </c>
      <c r="D34" s="170" t="s">
        <v>108</v>
      </c>
      <c r="E34" s="391"/>
      <c r="F34" s="392">
        <v>4</v>
      </c>
      <c r="G34" s="393"/>
      <c r="H34" s="392">
        <v>3</v>
      </c>
      <c r="I34" s="394"/>
      <c r="J34" s="395">
        <f t="shared" si="0"/>
        <v>1</v>
      </c>
      <c r="K34" s="265"/>
      <c r="L34" s="266" t="str">
        <f t="shared" si="2"/>
        <v>- -</v>
      </c>
      <c r="M34" s="314"/>
      <c r="N34" s="396"/>
      <c r="O34" s="314"/>
      <c r="P34" s="397"/>
      <c r="Q34" s="398"/>
      <c r="R34" s="206" t="str">
        <f t="shared" si="3"/>
        <v>- -</v>
      </c>
      <c r="S34" s="399"/>
      <c r="T34" s="400" t="str">
        <f t="shared" si="4"/>
        <v>- -</v>
      </c>
      <c r="U34" s="399"/>
      <c r="V34" s="401" t="str">
        <f t="shared" si="5"/>
        <v>f</v>
      </c>
      <c r="W34" s="402"/>
      <c r="X34" s="401" t="str">
        <f t="shared" si="6"/>
        <v>- -</v>
      </c>
      <c r="Y34" s="210"/>
      <c r="Z34" s="211" t="str">
        <f t="shared" si="7"/>
        <v/>
      </c>
      <c r="AA34" s="205" t="str">
        <f t="shared" si="1"/>
        <v/>
      </c>
      <c r="AB34" s="178"/>
      <c r="AC34" s="390"/>
      <c r="AD34" s="223" t="str">
        <f t="shared" si="8"/>
        <v>fehlende Zensur</v>
      </c>
      <c r="AE34" s="154"/>
    </row>
    <row r="35" spans="1:31" s="13" customFormat="1" ht="20.100000000000001" customHeight="1" x14ac:dyDescent="0.2">
      <c r="A35" s="167">
        <v>17</v>
      </c>
      <c r="B35" s="168"/>
      <c r="C35" s="170" t="s">
        <v>75</v>
      </c>
      <c r="D35" s="170" t="s">
        <v>109</v>
      </c>
      <c r="E35" s="391"/>
      <c r="F35" s="392">
        <v>5</v>
      </c>
      <c r="G35" s="393"/>
      <c r="H35" s="392">
        <v>3</v>
      </c>
      <c r="I35" s="394"/>
      <c r="J35" s="395">
        <f t="shared" si="0"/>
        <v>2</v>
      </c>
      <c r="K35" s="265"/>
      <c r="L35" s="266" t="str">
        <f t="shared" si="2"/>
        <v>frw.</v>
      </c>
      <c r="M35" s="314"/>
      <c r="N35" s="396"/>
      <c r="O35" s="314"/>
      <c r="P35" s="397"/>
      <c r="Q35" s="398"/>
      <c r="R35" s="206" t="str">
        <f t="shared" si="3"/>
        <v>- -</v>
      </c>
      <c r="S35" s="399"/>
      <c r="T35" s="400" t="str">
        <f t="shared" si="4"/>
        <v>- -</v>
      </c>
      <c r="U35" s="399"/>
      <c r="V35" s="401" t="str">
        <f t="shared" si="5"/>
        <v>- -</v>
      </c>
      <c r="W35" s="402"/>
      <c r="X35" s="401" t="str">
        <f t="shared" si="6"/>
        <v>- -</v>
      </c>
      <c r="Y35" s="210"/>
      <c r="Z35" s="211" t="str">
        <f t="shared" si="7"/>
        <v/>
      </c>
      <c r="AA35" s="205" t="str">
        <f t="shared" si="1"/>
        <v/>
      </c>
      <c r="AB35" s="178"/>
      <c r="AC35" s="390"/>
      <c r="AD35" s="223" t="str">
        <f t="shared" si="8"/>
        <v/>
      </c>
      <c r="AE35" s="154"/>
    </row>
    <row r="36" spans="1:31" s="13" customFormat="1" ht="20.100000000000001" customHeight="1" x14ac:dyDescent="0.2">
      <c r="A36" s="167">
        <v>18</v>
      </c>
      <c r="B36" s="168"/>
      <c r="C36" s="170" t="s">
        <v>76</v>
      </c>
      <c r="D36" s="170" t="s">
        <v>110</v>
      </c>
      <c r="E36" s="391"/>
      <c r="F36" s="392">
        <v>6</v>
      </c>
      <c r="G36" s="393"/>
      <c r="H36" s="392">
        <v>3</v>
      </c>
      <c r="I36" s="394"/>
      <c r="J36" s="395">
        <f t="shared" si="0"/>
        <v>3</v>
      </c>
      <c r="K36" s="265"/>
      <c r="L36" s="266" t="str">
        <f t="shared" si="2"/>
        <v>x</v>
      </c>
      <c r="M36" s="314"/>
      <c r="N36" s="396"/>
      <c r="O36" s="314"/>
      <c r="P36" s="397">
        <v>4</v>
      </c>
      <c r="Q36" s="398"/>
      <c r="R36" s="206">
        <f t="shared" si="3"/>
        <v>4.7</v>
      </c>
      <c r="S36" s="399"/>
      <c r="T36" s="400" t="str">
        <f t="shared" si="4"/>
        <v>- -</v>
      </c>
      <c r="U36" s="399"/>
      <c r="V36" s="401" t="str">
        <f t="shared" si="5"/>
        <v>- -</v>
      </c>
      <c r="W36" s="402"/>
      <c r="X36" s="401" t="str">
        <f t="shared" si="6"/>
        <v>- -</v>
      </c>
      <c r="Y36" s="210"/>
      <c r="Z36" s="211" t="str">
        <f t="shared" si="7"/>
        <v>5</v>
      </c>
      <c r="AA36" s="205">
        <f t="shared" si="1"/>
        <v>5</v>
      </c>
      <c r="AB36" s="178"/>
      <c r="AC36" s="390"/>
      <c r="AD36" s="223" t="str">
        <f t="shared" si="8"/>
        <v/>
      </c>
      <c r="AE36" s="154"/>
    </row>
    <row r="37" spans="1:31" s="13" customFormat="1" ht="20.100000000000001" customHeight="1" x14ac:dyDescent="0.2">
      <c r="A37" s="167">
        <v>19</v>
      </c>
      <c r="B37" s="168"/>
      <c r="C37" s="170" t="s">
        <v>77</v>
      </c>
      <c r="D37" s="170" t="s">
        <v>111</v>
      </c>
      <c r="E37" s="391"/>
      <c r="F37" s="392">
        <v>1</v>
      </c>
      <c r="G37" s="393"/>
      <c r="H37" s="392">
        <v>4</v>
      </c>
      <c r="I37" s="394"/>
      <c r="J37" s="395">
        <f t="shared" si="0"/>
        <v>3</v>
      </c>
      <c r="K37" s="265"/>
      <c r="L37" s="266" t="str">
        <f t="shared" si="2"/>
        <v>x</v>
      </c>
      <c r="M37" s="314"/>
      <c r="N37" s="396"/>
      <c r="O37" s="314"/>
      <c r="P37" s="397"/>
      <c r="Q37" s="398"/>
      <c r="R37" s="206" t="str">
        <f t="shared" si="3"/>
        <v>- -</v>
      </c>
      <c r="S37" s="399"/>
      <c r="T37" s="400" t="str">
        <f t="shared" si="4"/>
        <v>- -</v>
      </c>
      <c r="U37" s="399"/>
      <c r="V37" s="401" t="str">
        <f t="shared" si="5"/>
        <v>- -</v>
      </c>
      <c r="W37" s="402"/>
      <c r="X37" s="401" t="str">
        <f t="shared" si="6"/>
        <v>- -</v>
      </c>
      <c r="Y37" s="210"/>
      <c r="Z37" s="211" t="str">
        <f t="shared" si="7"/>
        <v/>
      </c>
      <c r="AA37" s="205" t="str">
        <f t="shared" si="1"/>
        <v/>
      </c>
      <c r="AB37" s="178"/>
      <c r="AC37" s="390"/>
      <c r="AD37" s="223" t="str">
        <f t="shared" si="8"/>
        <v/>
      </c>
      <c r="AE37" s="154"/>
    </row>
    <row r="38" spans="1:31" s="13" customFormat="1" ht="20.100000000000001" customHeight="1" x14ac:dyDescent="0.2">
      <c r="A38" s="167">
        <v>20</v>
      </c>
      <c r="B38" s="168"/>
      <c r="C38" s="170" t="s">
        <v>78</v>
      </c>
      <c r="D38" s="170" t="s">
        <v>112</v>
      </c>
      <c r="E38" s="391"/>
      <c r="F38" s="392">
        <v>2</v>
      </c>
      <c r="G38" s="393"/>
      <c r="H38" s="392">
        <v>4</v>
      </c>
      <c r="I38" s="394"/>
      <c r="J38" s="395">
        <f t="shared" si="0"/>
        <v>2</v>
      </c>
      <c r="K38" s="265"/>
      <c r="L38" s="266" t="str">
        <f t="shared" si="2"/>
        <v>frw.</v>
      </c>
      <c r="M38" s="314"/>
      <c r="N38" s="396"/>
      <c r="O38" s="314"/>
      <c r="P38" s="397"/>
      <c r="Q38" s="398"/>
      <c r="R38" s="206" t="str">
        <f t="shared" si="3"/>
        <v>- -</v>
      </c>
      <c r="S38" s="399"/>
      <c r="T38" s="400" t="str">
        <f t="shared" si="4"/>
        <v>- -</v>
      </c>
      <c r="U38" s="399"/>
      <c r="V38" s="401" t="str">
        <f t="shared" si="5"/>
        <v>- -</v>
      </c>
      <c r="W38" s="402"/>
      <c r="X38" s="401" t="str">
        <f t="shared" si="6"/>
        <v>- -</v>
      </c>
      <c r="Y38" s="210"/>
      <c r="Z38" s="211" t="str">
        <f t="shared" si="7"/>
        <v/>
      </c>
      <c r="AA38" s="205" t="str">
        <f t="shared" si="1"/>
        <v/>
      </c>
      <c r="AB38" s="178"/>
      <c r="AC38" s="390"/>
      <c r="AD38" s="223" t="str">
        <f t="shared" si="8"/>
        <v/>
      </c>
      <c r="AE38" s="154"/>
    </row>
    <row r="39" spans="1:31" s="13" customFormat="1" ht="20.100000000000001" customHeight="1" x14ac:dyDescent="0.2">
      <c r="A39" s="167">
        <v>21</v>
      </c>
      <c r="B39" s="168"/>
      <c r="C39" s="170" t="s">
        <v>79</v>
      </c>
      <c r="D39" s="170" t="s">
        <v>113</v>
      </c>
      <c r="E39" s="391"/>
      <c r="F39" s="392">
        <v>3</v>
      </c>
      <c r="G39" s="393"/>
      <c r="H39" s="392">
        <v>4</v>
      </c>
      <c r="I39" s="394"/>
      <c r="J39" s="395">
        <f t="shared" si="0"/>
        <v>1</v>
      </c>
      <c r="K39" s="265"/>
      <c r="L39" s="266" t="str">
        <f t="shared" si="2"/>
        <v>- -</v>
      </c>
      <c r="M39" s="314"/>
      <c r="N39" s="396"/>
      <c r="O39" s="314"/>
      <c r="P39" s="397"/>
      <c r="Q39" s="398"/>
      <c r="R39" s="206" t="str">
        <f t="shared" si="3"/>
        <v>- -</v>
      </c>
      <c r="S39" s="399"/>
      <c r="T39" s="400" t="str">
        <f t="shared" si="4"/>
        <v>- -</v>
      </c>
      <c r="U39" s="399"/>
      <c r="V39" s="401" t="str">
        <f t="shared" si="5"/>
        <v>f</v>
      </c>
      <c r="W39" s="402"/>
      <c r="X39" s="401" t="str">
        <f t="shared" si="6"/>
        <v>- -</v>
      </c>
      <c r="Y39" s="210"/>
      <c r="Z39" s="211" t="str">
        <f t="shared" si="7"/>
        <v/>
      </c>
      <c r="AA39" s="205" t="str">
        <f t="shared" si="1"/>
        <v/>
      </c>
      <c r="AB39" s="178"/>
      <c r="AC39" s="390"/>
      <c r="AD39" s="223" t="str">
        <f t="shared" si="8"/>
        <v>fehlende Zensur</v>
      </c>
      <c r="AE39" s="154"/>
    </row>
    <row r="40" spans="1:31" s="13" customFormat="1" ht="20.100000000000001" customHeight="1" x14ac:dyDescent="0.2">
      <c r="A40" s="167">
        <v>22</v>
      </c>
      <c r="B40" s="168"/>
      <c r="C40" s="170" t="s">
        <v>80</v>
      </c>
      <c r="D40" s="170" t="s">
        <v>114</v>
      </c>
      <c r="E40" s="391"/>
      <c r="F40" s="392">
        <v>4</v>
      </c>
      <c r="G40" s="393"/>
      <c r="H40" s="392">
        <v>4</v>
      </c>
      <c r="I40" s="394"/>
      <c r="J40" s="395">
        <f t="shared" si="0"/>
        <v>0</v>
      </c>
      <c r="K40" s="265"/>
      <c r="L40" s="266" t="str">
        <f t="shared" si="2"/>
        <v>- -</v>
      </c>
      <c r="M40" s="314"/>
      <c r="N40" s="396"/>
      <c r="O40" s="314"/>
      <c r="P40" s="397"/>
      <c r="Q40" s="398"/>
      <c r="R40" s="206" t="str">
        <f t="shared" si="3"/>
        <v>- -</v>
      </c>
      <c r="S40" s="399"/>
      <c r="T40" s="400">
        <f t="shared" si="4"/>
        <v>4</v>
      </c>
      <c r="U40" s="399"/>
      <c r="V40" s="401" t="str">
        <f t="shared" si="5"/>
        <v>- -</v>
      </c>
      <c r="W40" s="402"/>
      <c r="X40" s="401" t="str">
        <f t="shared" si="6"/>
        <v>- -</v>
      </c>
      <c r="Y40" s="210"/>
      <c r="Z40" s="211" t="str">
        <f t="shared" si="7"/>
        <v>4</v>
      </c>
      <c r="AA40" s="205">
        <f t="shared" si="1"/>
        <v>4</v>
      </c>
      <c r="AB40" s="178"/>
      <c r="AC40" s="390"/>
      <c r="AD40" s="223" t="str">
        <f t="shared" si="8"/>
        <v/>
      </c>
      <c r="AE40" s="154"/>
    </row>
    <row r="41" spans="1:31" s="13" customFormat="1" ht="20.100000000000001" customHeight="1" x14ac:dyDescent="0.2">
      <c r="A41" s="167">
        <v>23</v>
      </c>
      <c r="B41" s="168"/>
      <c r="C41" s="171" t="s">
        <v>81</v>
      </c>
      <c r="D41" s="171" t="s">
        <v>115</v>
      </c>
      <c r="E41" s="391"/>
      <c r="F41" s="392">
        <v>5</v>
      </c>
      <c r="G41" s="393"/>
      <c r="H41" s="392">
        <v>4</v>
      </c>
      <c r="I41" s="394"/>
      <c r="J41" s="395">
        <f t="shared" si="0"/>
        <v>1</v>
      </c>
      <c r="K41" s="265"/>
      <c r="L41" s="266" t="str">
        <f t="shared" si="2"/>
        <v>- -</v>
      </c>
      <c r="M41" s="314"/>
      <c r="N41" s="396"/>
      <c r="O41" s="314"/>
      <c r="P41" s="397"/>
      <c r="Q41" s="398"/>
      <c r="R41" s="206" t="str">
        <f t="shared" si="3"/>
        <v>- -</v>
      </c>
      <c r="S41" s="399"/>
      <c r="T41" s="400" t="str">
        <f t="shared" si="4"/>
        <v>- -</v>
      </c>
      <c r="U41" s="399"/>
      <c r="V41" s="401" t="str">
        <f t="shared" si="5"/>
        <v>f</v>
      </c>
      <c r="W41" s="402"/>
      <c r="X41" s="401" t="str">
        <f t="shared" si="6"/>
        <v>- -</v>
      </c>
      <c r="Y41" s="210"/>
      <c r="Z41" s="211" t="str">
        <f t="shared" si="7"/>
        <v/>
      </c>
      <c r="AA41" s="205" t="str">
        <f t="shared" si="1"/>
        <v/>
      </c>
      <c r="AB41" s="178"/>
      <c r="AC41" s="390"/>
      <c r="AD41" s="223" t="str">
        <f t="shared" si="8"/>
        <v>fehlende Zensur</v>
      </c>
      <c r="AE41" s="154"/>
    </row>
    <row r="42" spans="1:31" s="13" customFormat="1" ht="20.100000000000001" customHeight="1" x14ac:dyDescent="0.2">
      <c r="A42" s="167">
        <v>24</v>
      </c>
      <c r="B42" s="168"/>
      <c r="C42" s="171" t="s">
        <v>82</v>
      </c>
      <c r="D42" s="171" t="s">
        <v>116</v>
      </c>
      <c r="E42" s="391"/>
      <c r="F42" s="392">
        <v>6</v>
      </c>
      <c r="G42" s="393"/>
      <c r="H42" s="392">
        <v>4</v>
      </c>
      <c r="I42" s="394"/>
      <c r="J42" s="395">
        <f t="shared" si="0"/>
        <v>2</v>
      </c>
      <c r="K42" s="265"/>
      <c r="L42" s="266" t="str">
        <f t="shared" si="2"/>
        <v>frw.</v>
      </c>
      <c r="M42" s="314"/>
      <c r="N42" s="396"/>
      <c r="O42" s="314"/>
      <c r="P42" s="397"/>
      <c r="Q42" s="398"/>
      <c r="R42" s="206" t="str">
        <f t="shared" si="3"/>
        <v>- -</v>
      </c>
      <c r="S42" s="399"/>
      <c r="T42" s="400" t="str">
        <f t="shared" si="4"/>
        <v>- -</v>
      </c>
      <c r="U42" s="399"/>
      <c r="V42" s="401" t="str">
        <f t="shared" si="5"/>
        <v>- -</v>
      </c>
      <c r="W42" s="402"/>
      <c r="X42" s="401" t="str">
        <f t="shared" si="6"/>
        <v>- -</v>
      </c>
      <c r="Y42" s="210"/>
      <c r="Z42" s="211" t="str">
        <f t="shared" si="7"/>
        <v/>
      </c>
      <c r="AA42" s="205" t="str">
        <f t="shared" si="1"/>
        <v/>
      </c>
      <c r="AB42" s="178"/>
      <c r="AC42" s="390"/>
      <c r="AD42" s="223" t="str">
        <f t="shared" si="8"/>
        <v/>
      </c>
      <c r="AE42" s="154"/>
    </row>
    <row r="43" spans="1:31" s="13" customFormat="1" ht="20.100000000000001" customHeight="1" x14ac:dyDescent="0.2">
      <c r="A43" s="167">
        <v>25</v>
      </c>
      <c r="B43" s="168"/>
      <c r="C43" s="171" t="s">
        <v>83</v>
      </c>
      <c r="D43" s="171" t="s">
        <v>117</v>
      </c>
      <c r="E43" s="391"/>
      <c r="F43" s="392">
        <v>1</v>
      </c>
      <c r="G43" s="393"/>
      <c r="H43" s="392">
        <v>5</v>
      </c>
      <c r="I43" s="394"/>
      <c r="J43" s="395">
        <f t="shared" si="0"/>
        <v>4</v>
      </c>
      <c r="K43" s="265"/>
      <c r="L43" s="266" t="str">
        <f t="shared" si="2"/>
        <v>x</v>
      </c>
      <c r="M43" s="314"/>
      <c r="N43" s="396"/>
      <c r="O43" s="314"/>
      <c r="P43" s="397"/>
      <c r="Q43" s="398"/>
      <c r="R43" s="206" t="str">
        <f t="shared" si="3"/>
        <v>- -</v>
      </c>
      <c r="S43" s="399"/>
      <c r="T43" s="400" t="str">
        <f t="shared" si="4"/>
        <v>- -</v>
      </c>
      <c r="U43" s="399"/>
      <c r="V43" s="401" t="str">
        <f t="shared" si="5"/>
        <v>- -</v>
      </c>
      <c r="W43" s="402"/>
      <c r="X43" s="401" t="str">
        <f t="shared" si="6"/>
        <v>- -</v>
      </c>
      <c r="Y43" s="210"/>
      <c r="Z43" s="211" t="str">
        <f t="shared" si="7"/>
        <v/>
      </c>
      <c r="AA43" s="205" t="str">
        <f t="shared" si="1"/>
        <v/>
      </c>
      <c r="AB43" s="178"/>
      <c r="AC43" s="390"/>
      <c r="AD43" s="223" t="str">
        <f t="shared" si="8"/>
        <v/>
      </c>
      <c r="AE43" s="154"/>
    </row>
    <row r="44" spans="1:31" s="13" customFormat="1" ht="20.100000000000001" customHeight="1" x14ac:dyDescent="0.2">
      <c r="A44" s="167">
        <v>26</v>
      </c>
      <c r="B44" s="168"/>
      <c r="C44" s="170" t="s">
        <v>84</v>
      </c>
      <c r="D44" s="170" t="s">
        <v>118</v>
      </c>
      <c r="E44" s="391"/>
      <c r="F44" s="392">
        <v>2</v>
      </c>
      <c r="G44" s="393"/>
      <c r="H44" s="392">
        <v>5</v>
      </c>
      <c r="I44" s="394"/>
      <c r="J44" s="395">
        <f t="shared" si="0"/>
        <v>3</v>
      </c>
      <c r="K44" s="265"/>
      <c r="L44" s="266" t="str">
        <f t="shared" si="2"/>
        <v>x</v>
      </c>
      <c r="M44" s="314"/>
      <c r="N44" s="396"/>
      <c r="O44" s="314"/>
      <c r="P44" s="397"/>
      <c r="Q44" s="398"/>
      <c r="R44" s="206" t="str">
        <f t="shared" si="3"/>
        <v>- -</v>
      </c>
      <c r="S44" s="399"/>
      <c r="T44" s="400" t="str">
        <f t="shared" si="4"/>
        <v>- -</v>
      </c>
      <c r="U44" s="399"/>
      <c r="V44" s="401" t="str">
        <f t="shared" si="5"/>
        <v>- -</v>
      </c>
      <c r="W44" s="402"/>
      <c r="X44" s="401" t="str">
        <f t="shared" si="6"/>
        <v>- -</v>
      </c>
      <c r="Y44" s="210"/>
      <c r="Z44" s="211" t="str">
        <f t="shared" si="7"/>
        <v/>
      </c>
      <c r="AA44" s="205" t="str">
        <f t="shared" si="1"/>
        <v/>
      </c>
      <c r="AB44" s="178"/>
      <c r="AC44" s="390"/>
      <c r="AD44" s="223" t="str">
        <f t="shared" si="8"/>
        <v/>
      </c>
      <c r="AE44" s="154"/>
    </row>
    <row r="45" spans="1:31" s="13" customFormat="1" ht="20.100000000000001" customHeight="1" x14ac:dyDescent="0.2">
      <c r="A45" s="167">
        <v>27</v>
      </c>
      <c r="B45" s="168"/>
      <c r="C45" s="170" t="s">
        <v>85</v>
      </c>
      <c r="D45" s="170" t="s">
        <v>119</v>
      </c>
      <c r="E45" s="391"/>
      <c r="F45" s="392">
        <v>3</v>
      </c>
      <c r="G45" s="393"/>
      <c r="H45" s="392">
        <v>5</v>
      </c>
      <c r="I45" s="394"/>
      <c r="J45" s="395">
        <f t="shared" si="0"/>
        <v>2</v>
      </c>
      <c r="K45" s="265"/>
      <c r="L45" s="266" t="str">
        <f t="shared" si="2"/>
        <v>frw.</v>
      </c>
      <c r="M45" s="314"/>
      <c r="N45" s="396"/>
      <c r="O45" s="314"/>
      <c r="P45" s="397"/>
      <c r="Q45" s="398"/>
      <c r="R45" s="206" t="str">
        <f t="shared" si="3"/>
        <v>- -</v>
      </c>
      <c r="S45" s="399"/>
      <c r="T45" s="400" t="str">
        <f t="shared" si="4"/>
        <v>- -</v>
      </c>
      <c r="U45" s="399"/>
      <c r="V45" s="401" t="str">
        <f t="shared" si="5"/>
        <v>- -</v>
      </c>
      <c r="W45" s="402"/>
      <c r="X45" s="401" t="str">
        <f t="shared" si="6"/>
        <v>- -</v>
      </c>
      <c r="Y45" s="210"/>
      <c r="Z45" s="211" t="str">
        <f t="shared" si="7"/>
        <v/>
      </c>
      <c r="AA45" s="205" t="str">
        <f t="shared" si="1"/>
        <v/>
      </c>
      <c r="AB45" s="178"/>
      <c r="AC45" s="390"/>
      <c r="AD45" s="223" t="str">
        <f t="shared" si="8"/>
        <v/>
      </c>
      <c r="AE45" s="154"/>
    </row>
    <row r="46" spans="1:31" s="13" customFormat="1" ht="20.100000000000001" customHeight="1" x14ac:dyDescent="0.2">
      <c r="A46" s="167">
        <v>28</v>
      </c>
      <c r="B46" s="168"/>
      <c r="C46" s="170" t="s">
        <v>176</v>
      </c>
      <c r="D46" s="170" t="s">
        <v>177</v>
      </c>
      <c r="E46" s="403"/>
      <c r="F46" s="392">
        <v>4</v>
      </c>
      <c r="G46" s="393"/>
      <c r="H46" s="392">
        <v>5</v>
      </c>
      <c r="I46" s="185"/>
      <c r="J46" s="395">
        <f t="shared" si="0"/>
        <v>1</v>
      </c>
      <c r="K46" s="187"/>
      <c r="L46" s="188" t="str">
        <f>IF($C46&lt;&gt;"",IF(J46&lt;2,"- -",IF(J46=2,"frw.","x")),"")</f>
        <v>- -</v>
      </c>
      <c r="M46" s="404"/>
      <c r="N46" s="396"/>
      <c r="O46" s="404"/>
      <c r="P46" s="397"/>
      <c r="Q46" s="398"/>
      <c r="R46" s="206" t="str">
        <f>IF($C46&lt;&gt;"",IF(OR(L46="x",N46="j"),IF(P46="","- -",(5*$F46+3*$H46+2*$P46)/10),"- -"),"")</f>
        <v>- -</v>
      </c>
      <c r="S46" s="399"/>
      <c r="T46" s="400" t="str">
        <f>IF($C46&lt;&gt;"",IF(J46=0,H46,"- -"),"")</f>
        <v>- -</v>
      </c>
      <c r="U46" s="399"/>
      <c r="V46" s="401" t="str">
        <f>IF($C46&lt;&gt;"",IF(J46&lt;&gt;1,"- -",IF(AND($AC46&lt;&gt;"",$AD46=""),$AC46,"f")),"")</f>
        <v>f</v>
      </c>
      <c r="W46" s="402"/>
      <c r="X46" s="401" t="str">
        <f>IF($C46&lt;&gt;"",IF(AND(J46=2,N46="n"),(F46+H46)/2,"- -"),"")</f>
        <v>- -</v>
      </c>
      <c r="Y46" s="210"/>
      <c r="Z46" s="211" t="str">
        <f>IF($C46&lt;&gt;"",IF(OR(F46="",H46=""),"",IF(OR(R46="- -",R46=""),"",ROUND(R46-0.05,0))&amp;IF(T46="- -","",T46)&amp;IF(OR(V46="- -",V46="f"),"",V46)&amp;IF(X46="- -","",X46)),"")</f>
        <v/>
      </c>
      <c r="AA46" s="205" t="str">
        <f t="shared" si="1"/>
        <v/>
      </c>
      <c r="AB46" s="178"/>
      <c r="AC46" s="390"/>
      <c r="AD46" s="223" t="str">
        <f>IF($C46&lt;&gt;"",IF(AND($J46=1,$AC46&lt;&gt;"",$AC46&lt;&gt;$F46,$AC46&lt;&gt;$H46),"falsche Zensur",IF(AND($J46=1,AC46=""),"fehlende Zensur","")),"")</f>
        <v>fehlende Zensur</v>
      </c>
      <c r="AE46" s="154"/>
    </row>
    <row r="47" spans="1:31" s="13" customFormat="1" ht="20.100000000000001" customHeight="1" x14ac:dyDescent="0.2">
      <c r="A47" s="167">
        <v>29</v>
      </c>
      <c r="B47" s="168"/>
      <c r="C47" s="170" t="s">
        <v>168</v>
      </c>
      <c r="D47" s="170" t="s">
        <v>178</v>
      </c>
      <c r="E47" s="403"/>
      <c r="F47" s="392">
        <v>5</v>
      </c>
      <c r="G47" s="393"/>
      <c r="H47" s="392">
        <v>5</v>
      </c>
      <c r="I47" s="185"/>
      <c r="J47" s="395">
        <f t="shared" si="0"/>
        <v>0</v>
      </c>
      <c r="K47" s="187"/>
      <c r="L47" s="188" t="str">
        <f t="shared" ref="L47:L54" si="9">IF($C47&lt;&gt;"",IF(J47&lt;2,"- -",IF(J47=2,"frw.","x")),"")</f>
        <v>- -</v>
      </c>
      <c r="M47" s="404"/>
      <c r="N47" s="396"/>
      <c r="O47" s="404"/>
      <c r="P47" s="397"/>
      <c r="Q47" s="398"/>
      <c r="R47" s="206" t="str">
        <f t="shared" ref="R47:R54" si="10">IF($C47&lt;&gt;"",IF(OR(L47="x",N47="j"),IF(P47="","- -",(5*$F47+3*$H47+2*$P47)/10),"- -"),"")</f>
        <v>- -</v>
      </c>
      <c r="S47" s="399"/>
      <c r="T47" s="400">
        <f t="shared" ref="T47:T54" si="11">IF($C47&lt;&gt;"",IF(J47=0,H47,"- -"),"")</f>
        <v>5</v>
      </c>
      <c r="U47" s="399"/>
      <c r="V47" s="401" t="str">
        <f t="shared" ref="V47:V54" si="12">IF($C47&lt;&gt;"",IF(J47&lt;&gt;1,"- -",IF(AND($AC47&lt;&gt;"",$AD47=""),$AC47,"f")),"")</f>
        <v>- -</v>
      </c>
      <c r="W47" s="402"/>
      <c r="X47" s="401" t="str">
        <f t="shared" ref="X47:X54" si="13">IF($C47&lt;&gt;"",IF(AND(J47=2,N47="n"),(F47+H47)/2,"- -"),"")</f>
        <v>- -</v>
      </c>
      <c r="Y47" s="210"/>
      <c r="Z47" s="211" t="str">
        <f t="shared" ref="Z47:Z54" si="14">IF($C47&lt;&gt;"",IF(OR(F47="",H47=""),"",IF(OR(R47="- -",R47=""),"",ROUND(R47-0.05,0))&amp;IF(T47="- -","",T47)&amp;IF(OR(V47="- -",V47="f"),"",V47)&amp;IF(X47="- -","",X47)),"")</f>
        <v>5</v>
      </c>
      <c r="AA47" s="205">
        <f t="shared" si="1"/>
        <v>5</v>
      </c>
      <c r="AB47" s="178"/>
      <c r="AC47" s="390"/>
      <c r="AD47" s="223" t="str">
        <f t="shared" ref="AD47:AD54" si="15">IF($C47&lt;&gt;"",IF(AND($J47=1,$AC47&lt;&gt;"",$AC47&lt;&gt;$F47,$AC47&lt;&gt;$H47),"falsche Zensur",IF(AND($J47=1,AC47=""),"fehlende Zensur","")),"")</f>
        <v/>
      </c>
      <c r="AE47" s="154"/>
    </row>
    <row r="48" spans="1:31" s="13" customFormat="1" ht="20.100000000000001" customHeight="1" x14ac:dyDescent="0.2">
      <c r="A48" s="167">
        <v>30</v>
      </c>
      <c r="B48" s="168"/>
      <c r="C48" s="170" t="s">
        <v>169</v>
      </c>
      <c r="D48" s="170" t="s">
        <v>179</v>
      </c>
      <c r="E48" s="403"/>
      <c r="F48" s="392">
        <v>6</v>
      </c>
      <c r="G48" s="393"/>
      <c r="H48" s="392">
        <v>5</v>
      </c>
      <c r="I48" s="185"/>
      <c r="J48" s="395">
        <f t="shared" si="0"/>
        <v>1</v>
      </c>
      <c r="K48" s="187"/>
      <c r="L48" s="188" t="str">
        <f t="shared" si="9"/>
        <v>- -</v>
      </c>
      <c r="M48" s="404"/>
      <c r="N48" s="396"/>
      <c r="O48" s="404"/>
      <c r="P48" s="397"/>
      <c r="Q48" s="398"/>
      <c r="R48" s="206" t="str">
        <f t="shared" si="10"/>
        <v>- -</v>
      </c>
      <c r="S48" s="399"/>
      <c r="T48" s="400" t="str">
        <f t="shared" si="11"/>
        <v>- -</v>
      </c>
      <c r="U48" s="399"/>
      <c r="V48" s="401" t="str">
        <f t="shared" si="12"/>
        <v>f</v>
      </c>
      <c r="W48" s="402"/>
      <c r="X48" s="401" t="str">
        <f t="shared" si="13"/>
        <v>- -</v>
      </c>
      <c r="Y48" s="210"/>
      <c r="Z48" s="211" t="str">
        <f t="shared" si="14"/>
        <v/>
      </c>
      <c r="AA48" s="205" t="str">
        <f t="shared" si="1"/>
        <v/>
      </c>
      <c r="AB48" s="178"/>
      <c r="AC48" s="390"/>
      <c r="AD48" s="223" t="str">
        <f t="shared" si="15"/>
        <v>fehlende Zensur</v>
      </c>
      <c r="AE48" s="154"/>
    </row>
    <row r="49" spans="1:31" s="13" customFormat="1" ht="20.100000000000001" customHeight="1" x14ac:dyDescent="0.2">
      <c r="A49" s="167">
        <v>31</v>
      </c>
      <c r="B49" s="168"/>
      <c r="C49" s="170" t="s">
        <v>170</v>
      </c>
      <c r="D49" s="170" t="s">
        <v>180</v>
      </c>
      <c r="E49" s="403"/>
      <c r="F49" s="392">
        <v>1</v>
      </c>
      <c r="G49" s="393"/>
      <c r="H49" s="392">
        <v>6</v>
      </c>
      <c r="I49" s="185"/>
      <c r="J49" s="395">
        <f t="shared" si="0"/>
        <v>5</v>
      </c>
      <c r="K49" s="187"/>
      <c r="L49" s="188" t="str">
        <f t="shared" si="9"/>
        <v>x</v>
      </c>
      <c r="M49" s="404"/>
      <c r="N49" s="396"/>
      <c r="O49" s="404"/>
      <c r="P49" s="397"/>
      <c r="Q49" s="398"/>
      <c r="R49" s="206" t="str">
        <f t="shared" si="10"/>
        <v>- -</v>
      </c>
      <c r="S49" s="399"/>
      <c r="T49" s="400" t="str">
        <f t="shared" si="11"/>
        <v>- -</v>
      </c>
      <c r="U49" s="399"/>
      <c r="V49" s="401" t="str">
        <f t="shared" si="12"/>
        <v>- -</v>
      </c>
      <c r="W49" s="402"/>
      <c r="X49" s="401" t="str">
        <f t="shared" si="13"/>
        <v>- -</v>
      </c>
      <c r="Y49" s="210"/>
      <c r="Z49" s="211" t="str">
        <f t="shared" si="14"/>
        <v/>
      </c>
      <c r="AA49" s="205" t="str">
        <f t="shared" si="1"/>
        <v/>
      </c>
      <c r="AB49" s="178"/>
      <c r="AC49" s="390"/>
      <c r="AD49" s="223" t="str">
        <f t="shared" si="15"/>
        <v/>
      </c>
      <c r="AE49" s="154"/>
    </row>
    <row r="50" spans="1:31" s="13" customFormat="1" ht="20.100000000000001" customHeight="1" x14ac:dyDescent="0.2">
      <c r="A50" s="167">
        <v>32</v>
      </c>
      <c r="B50" s="168"/>
      <c r="C50" s="170" t="s">
        <v>171</v>
      </c>
      <c r="D50" s="170" t="s">
        <v>181</v>
      </c>
      <c r="E50" s="403"/>
      <c r="F50" s="392">
        <v>2</v>
      </c>
      <c r="G50" s="393"/>
      <c r="H50" s="392">
        <v>5</v>
      </c>
      <c r="I50" s="185"/>
      <c r="J50" s="395">
        <f t="shared" si="0"/>
        <v>3</v>
      </c>
      <c r="K50" s="187"/>
      <c r="L50" s="188" t="str">
        <f t="shared" si="9"/>
        <v>x</v>
      </c>
      <c r="M50" s="404"/>
      <c r="N50" s="396"/>
      <c r="O50" s="404"/>
      <c r="P50" s="397"/>
      <c r="Q50" s="398"/>
      <c r="R50" s="206" t="str">
        <f t="shared" si="10"/>
        <v>- -</v>
      </c>
      <c r="S50" s="399"/>
      <c r="T50" s="400" t="str">
        <f t="shared" si="11"/>
        <v>- -</v>
      </c>
      <c r="U50" s="399"/>
      <c r="V50" s="401" t="str">
        <f t="shared" si="12"/>
        <v>- -</v>
      </c>
      <c r="W50" s="402"/>
      <c r="X50" s="401" t="str">
        <f t="shared" si="13"/>
        <v>- -</v>
      </c>
      <c r="Y50" s="210"/>
      <c r="Z50" s="211" t="str">
        <f t="shared" si="14"/>
        <v/>
      </c>
      <c r="AA50" s="205" t="str">
        <f t="shared" si="1"/>
        <v/>
      </c>
      <c r="AB50" s="178"/>
      <c r="AC50" s="390"/>
      <c r="AD50" s="223" t="str">
        <f t="shared" si="15"/>
        <v/>
      </c>
      <c r="AE50" s="154"/>
    </row>
    <row r="51" spans="1:31" s="13" customFormat="1" ht="20.100000000000001" customHeight="1" x14ac:dyDescent="0.2">
      <c r="A51" s="167">
        <v>33</v>
      </c>
      <c r="B51" s="168"/>
      <c r="C51" s="170" t="s">
        <v>172</v>
      </c>
      <c r="D51" s="170" t="s">
        <v>182</v>
      </c>
      <c r="E51" s="403"/>
      <c r="F51" s="392">
        <v>3</v>
      </c>
      <c r="G51" s="393"/>
      <c r="H51" s="392">
        <v>6</v>
      </c>
      <c r="I51" s="185"/>
      <c r="J51" s="395">
        <f t="shared" si="0"/>
        <v>3</v>
      </c>
      <c r="K51" s="187"/>
      <c r="L51" s="188" t="str">
        <f t="shared" si="9"/>
        <v>x</v>
      </c>
      <c r="M51" s="404"/>
      <c r="N51" s="396"/>
      <c r="O51" s="404"/>
      <c r="P51" s="397"/>
      <c r="Q51" s="398"/>
      <c r="R51" s="206" t="str">
        <f t="shared" si="10"/>
        <v>- -</v>
      </c>
      <c r="S51" s="399"/>
      <c r="T51" s="400" t="str">
        <f t="shared" si="11"/>
        <v>- -</v>
      </c>
      <c r="U51" s="399"/>
      <c r="V51" s="401" t="str">
        <f t="shared" si="12"/>
        <v>- -</v>
      </c>
      <c r="W51" s="402"/>
      <c r="X51" s="401" t="str">
        <f t="shared" si="13"/>
        <v>- -</v>
      </c>
      <c r="Y51" s="210"/>
      <c r="Z51" s="211" t="str">
        <f t="shared" si="14"/>
        <v/>
      </c>
      <c r="AA51" s="205" t="str">
        <f t="shared" si="1"/>
        <v/>
      </c>
      <c r="AB51" s="178"/>
      <c r="AC51" s="390"/>
      <c r="AD51" s="223" t="str">
        <f t="shared" si="15"/>
        <v/>
      </c>
      <c r="AE51" s="154"/>
    </row>
    <row r="52" spans="1:31" s="13" customFormat="1" ht="20.100000000000001" customHeight="1" x14ac:dyDescent="0.2">
      <c r="A52" s="167">
        <v>34</v>
      </c>
      <c r="B52" s="168"/>
      <c r="C52" s="170" t="s">
        <v>173</v>
      </c>
      <c r="D52" s="170" t="s">
        <v>183</v>
      </c>
      <c r="E52" s="403"/>
      <c r="F52" s="392">
        <v>4</v>
      </c>
      <c r="G52" s="393"/>
      <c r="H52" s="392">
        <v>6</v>
      </c>
      <c r="I52" s="185"/>
      <c r="J52" s="395">
        <f t="shared" si="0"/>
        <v>2</v>
      </c>
      <c r="K52" s="187"/>
      <c r="L52" s="188" t="str">
        <f t="shared" si="9"/>
        <v>frw.</v>
      </c>
      <c r="M52" s="404"/>
      <c r="N52" s="396"/>
      <c r="O52" s="404"/>
      <c r="P52" s="397"/>
      <c r="Q52" s="398"/>
      <c r="R52" s="206" t="str">
        <f t="shared" si="10"/>
        <v>- -</v>
      </c>
      <c r="S52" s="399"/>
      <c r="T52" s="400" t="str">
        <f t="shared" si="11"/>
        <v>- -</v>
      </c>
      <c r="U52" s="399"/>
      <c r="V52" s="401" t="str">
        <f t="shared" si="12"/>
        <v>- -</v>
      </c>
      <c r="W52" s="402"/>
      <c r="X52" s="401" t="str">
        <f t="shared" si="13"/>
        <v>- -</v>
      </c>
      <c r="Y52" s="210"/>
      <c r="Z52" s="211" t="str">
        <f t="shared" si="14"/>
        <v/>
      </c>
      <c r="AA52" s="205" t="str">
        <f t="shared" si="1"/>
        <v/>
      </c>
      <c r="AB52" s="178"/>
      <c r="AC52" s="390"/>
      <c r="AD52" s="223" t="str">
        <f t="shared" si="15"/>
        <v/>
      </c>
      <c r="AE52" s="154"/>
    </row>
    <row r="53" spans="1:31" s="13" customFormat="1" ht="20.100000000000001" customHeight="1" x14ac:dyDescent="0.2">
      <c r="A53" s="167">
        <v>35</v>
      </c>
      <c r="B53" s="168"/>
      <c r="C53" s="170" t="s">
        <v>174</v>
      </c>
      <c r="D53" s="170" t="s">
        <v>184</v>
      </c>
      <c r="E53" s="403"/>
      <c r="F53" s="392">
        <v>5</v>
      </c>
      <c r="G53" s="393"/>
      <c r="H53" s="392">
        <v>6</v>
      </c>
      <c r="I53" s="185"/>
      <c r="J53" s="395">
        <f t="shared" si="0"/>
        <v>1</v>
      </c>
      <c r="K53" s="187"/>
      <c r="L53" s="188" t="str">
        <f t="shared" si="9"/>
        <v>- -</v>
      </c>
      <c r="M53" s="404"/>
      <c r="N53" s="396"/>
      <c r="O53" s="404"/>
      <c r="P53" s="397"/>
      <c r="Q53" s="398"/>
      <c r="R53" s="206" t="str">
        <f t="shared" si="10"/>
        <v>- -</v>
      </c>
      <c r="S53" s="399"/>
      <c r="T53" s="400" t="str">
        <f t="shared" si="11"/>
        <v>- -</v>
      </c>
      <c r="U53" s="399"/>
      <c r="V53" s="401" t="str">
        <f t="shared" si="12"/>
        <v>f</v>
      </c>
      <c r="W53" s="402"/>
      <c r="X53" s="401" t="str">
        <f t="shared" si="13"/>
        <v>- -</v>
      </c>
      <c r="Y53" s="210"/>
      <c r="Z53" s="211" t="str">
        <f t="shared" si="14"/>
        <v/>
      </c>
      <c r="AA53" s="205" t="str">
        <f t="shared" si="1"/>
        <v/>
      </c>
      <c r="AB53" s="178"/>
      <c r="AC53" s="390"/>
      <c r="AD53" s="223" t="str">
        <f t="shared" si="15"/>
        <v>fehlende Zensur</v>
      </c>
      <c r="AE53" s="154"/>
    </row>
    <row r="54" spans="1:31" s="13" customFormat="1" ht="20.100000000000001" customHeight="1" thickBot="1" x14ac:dyDescent="0.25">
      <c r="A54" s="167">
        <v>36</v>
      </c>
      <c r="B54" s="168"/>
      <c r="C54" s="170" t="s">
        <v>175</v>
      </c>
      <c r="D54" s="170" t="s">
        <v>185</v>
      </c>
      <c r="E54" s="403"/>
      <c r="F54" s="392">
        <v>6</v>
      </c>
      <c r="G54" s="393"/>
      <c r="H54" s="392">
        <v>6</v>
      </c>
      <c r="I54" s="185"/>
      <c r="J54" s="395">
        <f t="shared" si="0"/>
        <v>0</v>
      </c>
      <c r="K54" s="187"/>
      <c r="L54" s="188" t="str">
        <f t="shared" si="9"/>
        <v>- -</v>
      </c>
      <c r="M54" s="404"/>
      <c r="N54" s="396"/>
      <c r="O54" s="404"/>
      <c r="P54" s="397"/>
      <c r="Q54" s="398"/>
      <c r="R54" s="206" t="str">
        <f t="shared" si="10"/>
        <v>- -</v>
      </c>
      <c r="S54" s="399"/>
      <c r="T54" s="400">
        <f t="shared" si="11"/>
        <v>6</v>
      </c>
      <c r="U54" s="399"/>
      <c r="V54" s="401" t="str">
        <f t="shared" si="12"/>
        <v>- -</v>
      </c>
      <c r="W54" s="402"/>
      <c r="X54" s="401" t="str">
        <f t="shared" si="13"/>
        <v>- -</v>
      </c>
      <c r="Y54" s="210"/>
      <c r="Z54" s="211" t="str">
        <f t="shared" si="14"/>
        <v>6</v>
      </c>
      <c r="AA54" s="205">
        <f t="shared" si="1"/>
        <v>6</v>
      </c>
      <c r="AB54" s="178"/>
      <c r="AC54" s="390"/>
      <c r="AD54" s="223" t="str">
        <f t="shared" si="15"/>
        <v/>
      </c>
      <c r="AE54" s="154"/>
    </row>
    <row r="55" spans="1:31" s="13" customFormat="1" ht="18" customHeight="1" thickTop="1" x14ac:dyDescent="0.2">
      <c r="A55" s="167"/>
      <c r="B55" s="168"/>
      <c r="C55" s="172"/>
      <c r="D55" s="172" t="s">
        <v>48</v>
      </c>
      <c r="E55" s="267"/>
      <c r="F55" s="268">
        <f>IF(ISERR(SUM(F$19:F$54)/COUNT(F$19:F$54)),"",SUM(F$19:F$54)/COUNT(F$19:F$54))</f>
        <v>3.5</v>
      </c>
      <c r="G55" s="189"/>
      <c r="H55" s="268">
        <f>IF(ISERR(SUM(H$19:H$54)/COUNT(H$19:H$54)),"",SUM(H$19:H$54)/COUNT(H$19:H$54))</f>
        <v>3.4722222222222223</v>
      </c>
      <c r="I55" s="189"/>
      <c r="J55" s="190"/>
      <c r="K55" s="191"/>
      <c r="L55" s="192"/>
      <c r="M55" s="269"/>
      <c r="N55" s="181"/>
      <c r="O55" s="269"/>
      <c r="P55" s="270"/>
      <c r="Q55" s="271"/>
      <c r="R55" s="190"/>
      <c r="S55" s="212"/>
      <c r="T55" s="190"/>
      <c r="U55" s="212"/>
      <c r="V55" s="190"/>
      <c r="W55" s="212"/>
      <c r="X55" s="192"/>
      <c r="Y55" s="213"/>
      <c r="Z55" s="214">
        <f>IF(ISERR(SUM($AA$19:$AA$54)/COUNT($AA$19:$AA$54)),"",SUM($AA$19:$AA$54)/COUNT($AA$19:$AA$54))</f>
        <v>3.2</v>
      </c>
      <c r="AA55" s="215"/>
      <c r="AB55" s="178"/>
      <c r="AC55" s="154"/>
      <c r="AD55" s="240"/>
      <c r="AE55" s="154"/>
    </row>
    <row r="56" spans="1:31" s="13" customFormat="1" ht="18" customHeight="1" thickBot="1" x14ac:dyDescent="0.25">
      <c r="A56" s="167"/>
      <c r="B56" s="168"/>
      <c r="C56" s="173"/>
      <c r="D56" s="173"/>
      <c r="E56" s="272"/>
      <c r="F56" s="273"/>
      <c r="G56" s="193"/>
      <c r="H56" s="273"/>
      <c r="I56" s="193"/>
      <c r="J56" s="193"/>
      <c r="K56" s="194"/>
      <c r="L56" s="193"/>
      <c r="M56" s="274"/>
      <c r="N56" s="193"/>
      <c r="O56" s="274"/>
      <c r="P56" s="275"/>
      <c r="Q56" s="276"/>
      <c r="R56" s="216"/>
      <c r="S56" s="217"/>
      <c r="T56" s="193"/>
      <c r="U56" s="217"/>
      <c r="V56" s="193"/>
      <c r="W56" s="217"/>
      <c r="X56" s="193"/>
      <c r="Y56" s="218"/>
      <c r="Z56" s="193"/>
      <c r="AA56" s="215"/>
      <c r="AB56" s="178"/>
      <c r="AC56" s="154"/>
      <c r="AD56" s="240"/>
      <c r="AE56" s="154"/>
    </row>
    <row r="57" spans="1:31" s="13" customFormat="1" ht="13.5" thickTop="1" x14ac:dyDescent="0.2">
      <c r="A57" s="174"/>
      <c r="B57" s="154"/>
      <c r="C57" s="175" t="s">
        <v>265</v>
      </c>
      <c r="D57" s="175"/>
      <c r="E57" s="175"/>
      <c r="F57" s="195"/>
      <c r="G57" s="195"/>
      <c r="H57" s="195"/>
      <c r="I57" s="195"/>
      <c r="J57" s="195"/>
      <c r="K57" s="196"/>
      <c r="L57" s="196"/>
      <c r="M57" s="196"/>
      <c r="N57" s="196"/>
      <c r="O57" s="196"/>
      <c r="P57" s="196"/>
      <c r="Q57" s="196"/>
      <c r="R57" s="196"/>
      <c r="S57" s="196"/>
      <c r="T57" s="196"/>
      <c r="U57" s="196"/>
      <c r="V57" s="196"/>
      <c r="W57" s="196"/>
      <c r="X57" s="196"/>
      <c r="Y57" s="196"/>
      <c r="Z57" s="196"/>
      <c r="AA57" s="178"/>
      <c r="AB57" s="178"/>
      <c r="AC57" s="154"/>
      <c r="AD57" s="240"/>
      <c r="AE57" s="154"/>
    </row>
    <row r="58" spans="1:31" s="13" customFormat="1" x14ac:dyDescent="0.2">
      <c r="A58" s="174"/>
      <c r="B58" s="154"/>
      <c r="C58" s="176" t="s">
        <v>266</v>
      </c>
      <c r="D58" s="176"/>
      <c r="E58" s="176"/>
      <c r="F58" s="176"/>
      <c r="G58" s="176"/>
      <c r="H58" s="176"/>
      <c r="I58" s="176"/>
      <c r="J58" s="176"/>
      <c r="K58" s="178"/>
      <c r="L58" s="178"/>
      <c r="M58" s="178"/>
      <c r="N58" s="219" t="s">
        <v>92</v>
      </c>
      <c r="O58" s="219"/>
      <c r="P58" s="219"/>
      <c r="Q58" s="219"/>
      <c r="R58" s="219"/>
      <c r="S58" s="219"/>
      <c r="T58" s="219"/>
      <c r="U58" s="219"/>
      <c r="V58" s="178"/>
      <c r="W58" s="178"/>
      <c r="X58" s="178"/>
      <c r="Y58" s="178"/>
      <c r="Z58" s="178"/>
      <c r="AA58" s="178"/>
      <c r="AB58" s="178"/>
      <c r="AC58" s="154"/>
      <c r="AD58" s="240"/>
      <c r="AE58" s="154"/>
    </row>
    <row r="59" spans="1:31" s="13" customFormat="1" x14ac:dyDescent="0.2">
      <c r="A59" s="174"/>
      <c r="B59" s="154"/>
      <c r="C59" s="177" t="s">
        <v>267</v>
      </c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219" t="s">
        <v>86</v>
      </c>
      <c r="O59" s="219"/>
      <c r="P59" s="219"/>
      <c r="Q59" s="219"/>
      <c r="R59" s="177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54"/>
      <c r="AD59" s="240"/>
      <c r="AE59" s="154"/>
    </row>
    <row r="60" spans="1:31" s="13" customFormat="1" x14ac:dyDescent="0.2">
      <c r="A60" s="174"/>
      <c r="B60" s="154"/>
      <c r="C60" s="178" t="s">
        <v>264</v>
      </c>
      <c r="D60" s="178"/>
      <c r="E60" s="178"/>
      <c r="F60" s="178"/>
      <c r="G60" s="178"/>
      <c r="H60" s="178"/>
      <c r="I60" s="178"/>
      <c r="J60" s="178"/>
      <c r="K60" s="178"/>
      <c r="L60" s="197"/>
      <c r="M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54"/>
      <c r="AD60" s="240"/>
      <c r="AE60" s="154"/>
    </row>
    <row r="61" spans="1:31" s="13" customFormat="1" x14ac:dyDescent="0.2">
      <c r="A61" s="174"/>
      <c r="B61" s="154"/>
      <c r="C61" s="176" t="s">
        <v>270</v>
      </c>
      <c r="D61" s="176"/>
      <c r="E61" s="176"/>
      <c r="F61" s="176"/>
      <c r="G61" s="176"/>
      <c r="H61" s="176"/>
      <c r="I61" s="176"/>
      <c r="J61" s="176"/>
      <c r="K61" s="178"/>
      <c r="L61" s="197" t="s">
        <v>94</v>
      </c>
      <c r="M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54"/>
      <c r="AD61" s="240"/>
      <c r="AE61" s="154"/>
    </row>
    <row r="62" spans="1:31" s="13" customFormat="1" x14ac:dyDescent="0.2">
      <c r="A62" s="174"/>
      <c r="B62" s="154"/>
      <c r="C62" s="178"/>
      <c r="D62" s="178"/>
      <c r="E62" s="178"/>
      <c r="F62" s="178"/>
      <c r="G62" s="178"/>
      <c r="H62" s="178"/>
      <c r="I62" s="178"/>
      <c r="J62" s="178"/>
      <c r="K62" s="178"/>
      <c r="L62" s="197" t="s">
        <v>93</v>
      </c>
      <c r="M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54"/>
      <c r="AD62" s="240"/>
      <c r="AE62" s="154"/>
    </row>
    <row r="63" spans="1:31" s="13" customFormat="1" x14ac:dyDescent="0.2">
      <c r="A63" s="174"/>
      <c r="B63" s="154"/>
      <c r="C63" s="178"/>
      <c r="D63" s="178"/>
      <c r="E63" s="178"/>
      <c r="F63" s="178"/>
      <c r="G63" s="178"/>
      <c r="H63" s="178"/>
      <c r="I63" s="154"/>
      <c r="J63" s="154"/>
      <c r="K63" s="154"/>
      <c r="L63" s="154"/>
      <c r="M63" s="154"/>
      <c r="N63" s="154"/>
      <c r="O63" s="154"/>
      <c r="P63" s="220" t="s">
        <v>215</v>
      </c>
      <c r="Q63" s="154"/>
      <c r="R63" s="154"/>
      <c r="S63" s="154"/>
      <c r="T63" s="154"/>
      <c r="U63" s="154"/>
      <c r="V63" s="154"/>
      <c r="W63" s="154"/>
      <c r="X63" s="154"/>
      <c r="Y63" s="154"/>
      <c r="Z63" s="154"/>
      <c r="AA63" s="154"/>
      <c r="AB63" s="154"/>
      <c r="AC63" s="154"/>
      <c r="AD63" s="240"/>
      <c r="AE63" s="154"/>
    </row>
    <row r="64" spans="1:31" s="13" customFormat="1" x14ac:dyDescent="0.2">
      <c r="A64" s="174"/>
      <c r="B64" s="154"/>
      <c r="C64" s="154"/>
      <c r="D64" s="154"/>
      <c r="E64" s="154"/>
      <c r="F64" s="154"/>
      <c r="G64" s="154"/>
      <c r="H64" s="154"/>
      <c r="I64" s="154"/>
      <c r="J64" s="154"/>
      <c r="K64" s="154"/>
      <c r="L64" s="154"/>
      <c r="M64" s="154"/>
      <c r="N64" s="154"/>
      <c r="O64" s="154"/>
      <c r="P64" s="154"/>
      <c r="Q64" s="154"/>
      <c r="R64" s="220" t="s">
        <v>91</v>
      </c>
      <c r="S64" s="154"/>
      <c r="T64" s="154"/>
      <c r="U64" s="154"/>
      <c r="V64" s="154"/>
      <c r="W64" s="154"/>
      <c r="X64" s="154"/>
      <c r="Y64" s="154"/>
      <c r="Z64" s="154"/>
      <c r="AA64" s="154"/>
      <c r="AB64" s="154"/>
      <c r="AC64" s="154"/>
      <c r="AD64" s="240"/>
      <c r="AE64" s="154"/>
    </row>
    <row r="65" spans="1:31" s="13" customFormat="1" x14ac:dyDescent="0.2">
      <c r="A65" s="174"/>
      <c r="B65" s="154"/>
      <c r="C65" s="179" t="s">
        <v>251</v>
      </c>
      <c r="D65" s="180"/>
      <c r="E65" s="180"/>
      <c r="F65" s="180"/>
      <c r="G65" s="180"/>
      <c r="H65" s="180"/>
      <c r="I65" s="180"/>
      <c r="J65" s="180"/>
      <c r="K65" s="154"/>
      <c r="L65" s="154"/>
      <c r="M65" s="154"/>
      <c r="N65" s="154"/>
      <c r="O65" s="154"/>
      <c r="P65" s="154"/>
      <c r="Q65" s="154"/>
      <c r="R65" s="221"/>
      <c r="S65" s="221"/>
      <c r="T65" s="221"/>
      <c r="U65" s="221"/>
      <c r="V65" s="221"/>
      <c r="W65" s="221"/>
      <c r="X65" s="221"/>
      <c r="Y65" s="221"/>
      <c r="Z65" s="222" t="s">
        <v>127</v>
      </c>
      <c r="AA65" s="154"/>
      <c r="AB65" s="154"/>
      <c r="AC65" s="154"/>
      <c r="AD65" s="240"/>
      <c r="AE65" s="154"/>
    </row>
    <row r="66" spans="1:31" s="13" customFormat="1" x14ac:dyDescent="0.2">
      <c r="A66" s="174"/>
      <c r="B66" s="154"/>
      <c r="C66" s="154"/>
      <c r="D66" s="154"/>
      <c r="E66" s="154"/>
      <c r="F66" s="154"/>
      <c r="G66" s="154"/>
      <c r="H66" s="154"/>
      <c r="I66" s="154"/>
      <c r="J66" s="154"/>
      <c r="K66" s="154"/>
      <c r="L66" s="154"/>
      <c r="M66" s="154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240"/>
      <c r="AE66" s="154"/>
    </row>
    <row r="67" spans="1:31" s="13" customFormat="1" x14ac:dyDescent="0.2">
      <c r="A67" s="37"/>
      <c r="AD67" s="63"/>
    </row>
    <row r="68" spans="1:31" s="13" customFormat="1" x14ac:dyDescent="0.2">
      <c r="AD68" s="63"/>
    </row>
    <row r="69" spans="1:31" s="13" customFormat="1" x14ac:dyDescent="0.2">
      <c r="AD69" s="63"/>
    </row>
    <row r="70" spans="1:31" s="13" customFormat="1" x14ac:dyDescent="0.2">
      <c r="AD70" s="63"/>
    </row>
    <row r="71" spans="1:31" s="13" customFormat="1" x14ac:dyDescent="0.2">
      <c r="AD71" s="63"/>
    </row>
    <row r="72" spans="1:31" s="13" customFormat="1" x14ac:dyDescent="0.2">
      <c r="AD72" s="63"/>
    </row>
    <row r="73" spans="1:31" s="13" customFormat="1" x14ac:dyDescent="0.2">
      <c r="AD73" s="63"/>
    </row>
    <row r="74" spans="1:31" s="13" customFormat="1" x14ac:dyDescent="0.2">
      <c r="AD74" s="63"/>
    </row>
    <row r="75" spans="1:31" s="13" customFormat="1" x14ac:dyDescent="0.2">
      <c r="AD75" s="63"/>
    </row>
    <row r="76" spans="1:31" s="13" customFormat="1" x14ac:dyDescent="0.2">
      <c r="AD76" s="63"/>
    </row>
    <row r="77" spans="1:31" s="13" customFormat="1" x14ac:dyDescent="0.2">
      <c r="AD77" s="63"/>
    </row>
    <row r="78" spans="1:31" s="13" customFormat="1" x14ac:dyDescent="0.2">
      <c r="AD78" s="63"/>
    </row>
    <row r="79" spans="1:31" s="13" customFormat="1" x14ac:dyDescent="0.2">
      <c r="AD79" s="63"/>
    </row>
    <row r="80" spans="1:31" s="13" customFormat="1" x14ac:dyDescent="0.2">
      <c r="AD80" s="63"/>
    </row>
    <row r="81" s="13" customFormat="1" x14ac:dyDescent="0.2"/>
    <row r="82" s="13" customFormat="1" x14ac:dyDescent="0.2"/>
    <row r="83" s="13" customFormat="1" x14ac:dyDescent="0.2"/>
    <row r="84" s="13" customFormat="1" x14ac:dyDescent="0.2"/>
    <row r="85" s="13" customFormat="1" x14ac:dyDescent="0.2"/>
    <row r="86" s="13" customFormat="1" x14ac:dyDescent="0.2"/>
    <row r="87" s="13" customFormat="1" x14ac:dyDescent="0.2"/>
    <row r="88" s="13" customFormat="1" x14ac:dyDescent="0.2"/>
    <row r="89" s="13" customFormat="1" x14ac:dyDescent="0.2"/>
    <row r="90" s="13" customFormat="1" x14ac:dyDescent="0.2"/>
    <row r="91" s="13" customFormat="1" x14ac:dyDescent="0.2"/>
    <row r="92" s="13" customFormat="1" x14ac:dyDescent="0.2"/>
    <row r="93" s="13" customFormat="1" x14ac:dyDescent="0.2"/>
    <row r="94" s="13" customFormat="1" x14ac:dyDescent="0.2"/>
    <row r="95" s="13" customFormat="1" x14ac:dyDescent="0.2"/>
    <row r="96" s="13" customFormat="1" x14ac:dyDescent="0.2"/>
    <row r="97" s="13" customFormat="1" x14ac:dyDescent="0.2"/>
    <row r="98" s="13" customFormat="1" x14ac:dyDescent="0.2"/>
    <row r="99" s="13" customFormat="1" x14ac:dyDescent="0.2"/>
    <row r="100" s="13" customFormat="1" x14ac:dyDescent="0.2"/>
    <row r="101" s="13" customFormat="1" x14ac:dyDescent="0.2"/>
    <row r="102" s="13" customFormat="1" x14ac:dyDescent="0.2"/>
    <row r="103" s="13" customFormat="1" x14ac:dyDescent="0.2"/>
    <row r="104" s="13" customFormat="1" x14ac:dyDescent="0.2"/>
    <row r="105" s="13" customFormat="1" x14ac:dyDescent="0.2"/>
    <row r="106" s="13" customFormat="1" x14ac:dyDescent="0.2"/>
    <row r="107" s="13" customFormat="1" x14ac:dyDescent="0.2"/>
    <row r="108" s="13" customFormat="1" x14ac:dyDescent="0.2"/>
    <row r="109" s="13" customFormat="1" x14ac:dyDescent="0.2"/>
    <row r="110" s="13" customFormat="1" x14ac:dyDescent="0.2"/>
    <row r="111" s="13" customFormat="1" x14ac:dyDescent="0.2"/>
    <row r="112" s="13" customFormat="1" x14ac:dyDescent="0.2"/>
    <row r="113" s="13" customFormat="1" x14ac:dyDescent="0.2"/>
    <row r="114" s="13" customFormat="1" x14ac:dyDescent="0.2"/>
    <row r="115" s="13" customFormat="1" x14ac:dyDescent="0.2"/>
    <row r="116" s="13" customFormat="1" x14ac:dyDescent="0.2"/>
    <row r="117" s="13" customFormat="1" x14ac:dyDescent="0.2"/>
    <row r="118" s="13" customFormat="1" x14ac:dyDescent="0.2"/>
    <row r="119" s="13" customFormat="1" x14ac:dyDescent="0.2"/>
    <row r="120" s="13" customFormat="1" x14ac:dyDescent="0.2"/>
    <row r="121" s="13" customFormat="1" x14ac:dyDescent="0.2"/>
    <row r="122" s="13" customFormat="1" x14ac:dyDescent="0.2"/>
    <row r="123" s="13" customFormat="1" x14ac:dyDescent="0.2"/>
    <row r="124" s="13" customFormat="1" x14ac:dyDescent="0.2"/>
    <row r="125" s="13" customFormat="1" x14ac:dyDescent="0.2"/>
    <row r="126" s="13" customFormat="1" x14ac:dyDescent="0.2"/>
    <row r="127" s="13" customFormat="1" x14ac:dyDescent="0.2"/>
    <row r="128" s="13" customFormat="1" x14ac:dyDescent="0.2"/>
    <row r="129" s="13" customFormat="1" x14ac:dyDescent="0.2"/>
    <row r="130" s="13" customFormat="1" x14ac:dyDescent="0.2"/>
    <row r="131" s="13" customFormat="1" x14ac:dyDescent="0.2"/>
    <row r="132" s="13" customFormat="1" x14ac:dyDescent="0.2"/>
    <row r="133" s="13" customFormat="1" x14ac:dyDescent="0.2"/>
    <row r="134" s="13" customFormat="1" x14ac:dyDescent="0.2"/>
    <row r="135" s="13" customFormat="1" x14ac:dyDescent="0.2"/>
    <row r="136" s="13" customFormat="1" x14ac:dyDescent="0.2"/>
    <row r="137" s="13" customFormat="1" x14ac:dyDescent="0.2"/>
    <row r="138" s="13" customFormat="1" x14ac:dyDescent="0.2"/>
    <row r="139" s="13" customFormat="1" x14ac:dyDescent="0.2"/>
    <row r="140" s="13" customFormat="1" x14ac:dyDescent="0.2"/>
    <row r="141" s="13" customFormat="1" x14ac:dyDescent="0.2"/>
    <row r="142" s="13" customFormat="1" x14ac:dyDescent="0.2"/>
    <row r="143" s="13" customFormat="1" x14ac:dyDescent="0.2"/>
    <row r="144" s="13" customFormat="1" x14ac:dyDescent="0.2"/>
    <row r="145" s="13" customFormat="1" x14ac:dyDescent="0.2"/>
    <row r="146" s="13" customFormat="1" x14ac:dyDescent="0.2"/>
    <row r="147" s="13" customFormat="1" x14ac:dyDescent="0.2"/>
    <row r="148" s="13" customFormat="1" x14ac:dyDescent="0.2"/>
    <row r="149" s="13" customFormat="1" x14ac:dyDescent="0.2"/>
    <row r="150" s="13" customFormat="1" x14ac:dyDescent="0.2"/>
    <row r="151" s="13" customFormat="1" x14ac:dyDescent="0.2"/>
    <row r="152" s="13" customFormat="1" x14ac:dyDescent="0.2"/>
    <row r="153" s="13" customFormat="1" x14ac:dyDescent="0.2"/>
  </sheetData>
  <sheetProtection sheet="1"/>
  <mergeCells count="6">
    <mergeCell ref="AC14:AC15"/>
    <mergeCell ref="K17:P17"/>
    <mergeCell ref="F14:F15"/>
    <mergeCell ref="H14:H15"/>
    <mergeCell ref="N14:N15"/>
    <mergeCell ref="P14:P15"/>
  </mergeCells>
  <phoneticPr fontId="10" type="noConversion"/>
  <conditionalFormatting sqref="P19:P54">
    <cfRule type="expression" dxfId="22" priority="1" stopIfTrue="1">
      <formula>AND($N19="j",P19="")</formula>
    </cfRule>
    <cfRule type="expression" dxfId="21" priority="2" stopIfTrue="1">
      <formula>AND($L19="x",P19="")</formula>
    </cfRule>
  </conditionalFormatting>
  <conditionalFormatting sqref="N19:N54">
    <cfRule type="expression" dxfId="20" priority="3" stopIfTrue="1">
      <formula>AND($L19="frw.",N19="")</formula>
    </cfRule>
  </conditionalFormatting>
  <conditionalFormatting sqref="V19:V54">
    <cfRule type="cellIs" dxfId="19" priority="4" stopIfTrue="1" operator="equal">
      <formula>"f"</formula>
    </cfRule>
  </conditionalFormatting>
  <conditionalFormatting sqref="AD19:AD54">
    <cfRule type="cellIs" dxfId="18" priority="5" stopIfTrue="1" operator="equal">
      <formula>"fehlende Zensur"</formula>
    </cfRule>
    <cfRule type="cellIs" dxfId="17" priority="6" stopIfTrue="1" operator="equal">
      <formula>"falsche Zensur"</formula>
    </cfRule>
  </conditionalFormatting>
  <conditionalFormatting sqref="H29:H54 H19:H27 F19:F24 F26:F54">
    <cfRule type="expression" dxfId="16" priority="7" stopIfTrue="1">
      <formula>IF($C19&lt;&gt;"",IF(F19="",TRUE,FALSE))</formula>
    </cfRule>
    <cfRule type="expression" dxfId="15" priority="8" stopIfTrue="1">
      <formula>IF(AND($C19&lt;&gt;"",OR(F19&lt;1,F19&gt;6)),TRUE,FALSE)</formula>
    </cfRule>
    <cfRule type="expression" dxfId="14" priority="9" stopIfTrue="1">
      <formula>IF($C19="",IF(F19&lt;&gt;"",TRUE,FALSE))</formula>
    </cfRule>
  </conditionalFormatting>
  <conditionalFormatting sqref="AC19:AC54">
    <cfRule type="expression" dxfId="13" priority="10" stopIfTrue="1">
      <formula>IF(AND($J19=1,AC19=""),TRUE,FALSE)</formula>
    </cfRule>
    <cfRule type="expression" dxfId="12" priority="11" stopIfTrue="1">
      <formula>IF($AD19="falsche Zensur",TRUE,FALSE)</formula>
    </cfRule>
  </conditionalFormatting>
  <conditionalFormatting sqref="J19:J27 J29:J54">
    <cfRule type="expression" dxfId="11" priority="12" stopIfTrue="1">
      <formula>IF(AND(J19=1,$AC19=""),TRUE,FALSE)</formula>
    </cfRule>
    <cfRule type="expression" dxfId="10" priority="13" stopIfTrue="1">
      <formula>IF(AND(J19=2,$N19&lt;&gt;"n",(OR($N19="",$P19=""))),TRUE,FALSE)</formula>
    </cfRule>
    <cfRule type="expression" dxfId="9" priority="14" stopIfTrue="1">
      <formula>IF(AND(J19&gt;2,$P19=""),TRUE,FALSE)</formula>
    </cfRule>
  </conditionalFormatting>
  <conditionalFormatting sqref="J28">
    <cfRule type="expression" dxfId="8" priority="15" stopIfTrue="1">
      <formula>IF(AND(J28=1,$AC28=""),TRUE,FALSE)</formula>
    </cfRule>
    <cfRule type="expression" dxfId="7" priority="16" stopIfTrue="1">
      <formula>IF(AND(J28=2,$N28&lt;&gt;"n",(OR($N28="",$P28=""))),TRUE,FALSE)</formula>
    </cfRule>
    <cfRule type="expression" dxfId="6" priority="17" stopIfTrue="1">
      <formula>IF(AND(J28&gt;2,$P28=""),TRUE,FALSE)</formula>
    </cfRule>
  </conditionalFormatting>
  <conditionalFormatting sqref="H28 F25">
    <cfRule type="expression" dxfId="5" priority="18" stopIfTrue="1">
      <formula>IF($C25&lt;&gt;"",IF(F25="",TRUE,FALSE))</formula>
    </cfRule>
    <cfRule type="expression" dxfId="4" priority="19" stopIfTrue="1">
      <formula>IF(AND($C25&lt;&gt;"",OR(F25&lt;1,F25&gt;6)),TRUE,FALSE)</formula>
    </cfRule>
    <cfRule type="expression" dxfId="3" priority="20" stopIfTrue="1">
      <formula>IF($C25="",IF(F25&lt;&gt;"",TRUE,FALSE))</formula>
    </cfRule>
  </conditionalFormatting>
  <printOptions gridLinesSet="0"/>
  <pageMargins left="0.59055118110236227" right="0" top="0.59055118110236227" bottom="0.39370078740157483" header="0" footer="0"/>
  <pageSetup paperSize="9" scale="80" orientation="portrait" horizontalDpi="240" verticalDpi="144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T42"/>
  <sheetViews>
    <sheetView showGridLines="0" topLeftCell="A13" workbookViewId="0">
      <selection activeCell="B37" sqref="B37"/>
    </sheetView>
  </sheetViews>
  <sheetFormatPr baseColWidth="10" defaultRowHeight="12.75" x14ac:dyDescent="0.2"/>
  <cols>
    <col min="1" max="4" width="7.7109375" customWidth="1"/>
    <col min="5" max="6" width="8.7109375" customWidth="1"/>
    <col min="7" max="18" width="7.7109375" customWidth="1"/>
    <col min="19" max="19" width="0.5703125" customWidth="1"/>
  </cols>
  <sheetData>
    <row r="1" spans="1:20" ht="15.95" customHeight="1" thickBot="1" x14ac:dyDescent="0.25">
      <c r="A1" s="405" t="s">
        <v>59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 t="s">
        <v>32</v>
      </c>
      <c r="R1" s="405"/>
      <c r="S1" s="405"/>
      <c r="T1" s="158"/>
    </row>
    <row r="2" spans="1:20" ht="15.95" customHeight="1" thickTop="1" x14ac:dyDescent="0.2">
      <c r="A2" s="406"/>
      <c r="B2" s="407"/>
      <c r="C2" s="408"/>
      <c r="D2" s="408"/>
      <c r="E2" s="409" t="s">
        <v>24</v>
      </c>
      <c r="F2" s="410" t="s">
        <v>26</v>
      </c>
      <c r="G2" s="574" t="s">
        <v>18</v>
      </c>
      <c r="H2" s="575"/>
      <c r="I2" s="575"/>
      <c r="J2" s="575"/>
      <c r="K2" s="575"/>
      <c r="L2" s="575"/>
      <c r="M2" s="575"/>
      <c r="N2" s="575"/>
      <c r="O2" s="575"/>
      <c r="P2" s="575"/>
      <c r="Q2" s="575"/>
      <c r="R2" s="576"/>
      <c r="S2" s="158"/>
      <c r="T2" s="158"/>
    </row>
    <row r="3" spans="1:20" ht="15.95" customHeight="1" x14ac:dyDescent="0.2">
      <c r="A3" s="411" t="s">
        <v>0</v>
      </c>
      <c r="B3" s="412" t="s">
        <v>1</v>
      </c>
      <c r="C3" s="413" t="s">
        <v>11</v>
      </c>
      <c r="D3" s="414" t="s">
        <v>13</v>
      </c>
      <c r="E3" s="415" t="s">
        <v>25</v>
      </c>
      <c r="F3" s="416" t="s">
        <v>27</v>
      </c>
      <c r="G3" s="417" t="s">
        <v>2</v>
      </c>
      <c r="H3" s="418" t="s">
        <v>3</v>
      </c>
      <c r="I3" s="419" t="s">
        <v>4</v>
      </c>
      <c r="J3" s="418" t="s">
        <v>3</v>
      </c>
      <c r="K3" s="419" t="s">
        <v>5</v>
      </c>
      <c r="L3" s="418" t="s">
        <v>3</v>
      </c>
      <c r="M3" s="419" t="s">
        <v>6</v>
      </c>
      <c r="N3" s="418" t="s">
        <v>3</v>
      </c>
      <c r="O3" s="419" t="s">
        <v>7</v>
      </c>
      <c r="P3" s="418" t="s">
        <v>3</v>
      </c>
      <c r="Q3" s="419" t="s">
        <v>8</v>
      </c>
      <c r="R3" s="420" t="s">
        <v>3</v>
      </c>
      <c r="S3" s="158"/>
      <c r="T3" s="158"/>
    </row>
    <row r="4" spans="1:20" ht="15.95" customHeight="1" thickBot="1" x14ac:dyDescent="0.25">
      <c r="A4" s="421" t="s">
        <v>16</v>
      </c>
      <c r="B4" s="422" t="s">
        <v>17</v>
      </c>
      <c r="C4" s="423" t="s">
        <v>10</v>
      </c>
      <c r="D4" s="424" t="s">
        <v>12</v>
      </c>
      <c r="E4" s="577" t="s">
        <v>28</v>
      </c>
      <c r="F4" s="578"/>
      <c r="G4" s="425"/>
      <c r="H4" s="426"/>
      <c r="I4" s="427"/>
      <c r="J4" s="426"/>
      <c r="K4" s="427"/>
      <c r="L4" s="426"/>
      <c r="M4" s="427"/>
      <c r="N4" s="426"/>
      <c r="O4" s="427"/>
      <c r="P4" s="426"/>
      <c r="Q4" s="427"/>
      <c r="R4" s="428"/>
      <c r="S4" s="429"/>
      <c r="T4" s="429"/>
    </row>
    <row r="5" spans="1:20" ht="15.95" customHeight="1" thickTop="1" x14ac:dyDescent="0.2">
      <c r="A5" s="430">
        <f>1</f>
        <v>1</v>
      </c>
      <c r="B5" s="431" t="s">
        <v>5</v>
      </c>
      <c r="C5" s="432">
        <f>ABS($A5-$B5)</f>
        <v>2</v>
      </c>
      <c r="D5" s="433" t="s">
        <v>4</v>
      </c>
      <c r="E5" s="434" t="s">
        <v>38</v>
      </c>
      <c r="F5" s="435">
        <v>6</v>
      </c>
      <c r="G5" s="436">
        <f>(5*$A5+3*$B5+2*G$3)/10</f>
        <v>1.6</v>
      </c>
      <c r="H5" s="3">
        <f>ROUND(G5-0.05,0)</f>
        <v>2</v>
      </c>
      <c r="I5" s="437">
        <f>(5*$A5+3*$B5+2*I$3)/10</f>
        <v>1.8</v>
      </c>
      <c r="J5" s="3">
        <f>ROUND(I5-0.05,0)</f>
        <v>2</v>
      </c>
      <c r="K5" s="437">
        <f>(5*$A5+3*$B5+2*K$3)/10</f>
        <v>2</v>
      </c>
      <c r="L5" s="3">
        <f t="shared" ref="L5:L24" si="0">ROUND(K5-0.05,0)</f>
        <v>2</v>
      </c>
      <c r="M5" s="437">
        <f>(5*$A5+3*$B5+2*M$3)/10</f>
        <v>2.2000000000000002</v>
      </c>
      <c r="N5" s="3">
        <f t="shared" ref="N5:N24" si="1">ROUND(M5-0.05,0)</f>
        <v>2</v>
      </c>
      <c r="O5" s="437">
        <f>(5*$A5+3*$B5+2*O$3)/10</f>
        <v>2.4</v>
      </c>
      <c r="P5" s="3">
        <f t="shared" ref="P5:P24" si="2">ROUND(O5-0.05,0)</f>
        <v>2</v>
      </c>
      <c r="Q5" s="438">
        <f>(5*$A5+3*$B5+2*Q$3)/10</f>
        <v>2.6</v>
      </c>
      <c r="R5" s="5">
        <f t="shared" ref="R5:R24" si="3">ROUND(Q5-0.05,0)</f>
        <v>3</v>
      </c>
      <c r="S5" s="158"/>
      <c r="T5" s="158"/>
    </row>
    <row r="6" spans="1:20" ht="15.95" customHeight="1" x14ac:dyDescent="0.2">
      <c r="A6" s="439">
        <f>1</f>
        <v>1</v>
      </c>
      <c r="B6" s="440" t="s">
        <v>6</v>
      </c>
      <c r="C6" s="441">
        <f t="shared" ref="C6:C24" si="4">ABS($A6-$B6)</f>
        <v>3</v>
      </c>
      <c r="D6" s="442"/>
      <c r="E6" s="443"/>
      <c r="F6" s="444"/>
      <c r="G6" s="445">
        <f t="shared" ref="G6:Q24" si="5">(5*$A6+3*$B6+2*G$3)/10</f>
        <v>1.9</v>
      </c>
      <c r="H6" s="4">
        <f t="shared" ref="H6:J24" si="6">ROUND(G6-0.05,0)</f>
        <v>2</v>
      </c>
      <c r="I6" s="446">
        <f t="shared" si="5"/>
        <v>2.1</v>
      </c>
      <c r="J6" s="4">
        <f t="shared" si="6"/>
        <v>2</v>
      </c>
      <c r="K6" s="446">
        <f t="shared" si="5"/>
        <v>2.2999999999999998</v>
      </c>
      <c r="L6" s="4">
        <f t="shared" si="0"/>
        <v>2</v>
      </c>
      <c r="M6" s="446">
        <f t="shared" si="5"/>
        <v>2.5</v>
      </c>
      <c r="N6" s="4">
        <f t="shared" si="1"/>
        <v>2</v>
      </c>
      <c r="O6" s="446">
        <f t="shared" si="5"/>
        <v>2.7</v>
      </c>
      <c r="P6" s="4">
        <f t="shared" si="2"/>
        <v>3</v>
      </c>
      <c r="Q6" s="447">
        <f t="shared" si="5"/>
        <v>2.9</v>
      </c>
      <c r="R6" s="6">
        <f t="shared" si="3"/>
        <v>3</v>
      </c>
      <c r="S6" s="158"/>
      <c r="T6" s="158"/>
    </row>
    <row r="7" spans="1:20" ht="15.95" customHeight="1" x14ac:dyDescent="0.2">
      <c r="A7" s="439">
        <f>1</f>
        <v>1</v>
      </c>
      <c r="B7" s="440" t="s">
        <v>7</v>
      </c>
      <c r="C7" s="441">
        <f t="shared" si="4"/>
        <v>4</v>
      </c>
      <c r="D7" s="442"/>
      <c r="E7" s="443"/>
      <c r="F7" s="444"/>
      <c r="G7" s="445">
        <f t="shared" si="5"/>
        <v>2.2000000000000002</v>
      </c>
      <c r="H7" s="4">
        <f t="shared" si="6"/>
        <v>2</v>
      </c>
      <c r="I7" s="446">
        <f t="shared" si="5"/>
        <v>2.4</v>
      </c>
      <c r="J7" s="4">
        <f t="shared" si="6"/>
        <v>2</v>
      </c>
      <c r="K7" s="446">
        <f t="shared" si="5"/>
        <v>2.6</v>
      </c>
      <c r="L7" s="4">
        <f t="shared" si="0"/>
        <v>3</v>
      </c>
      <c r="M7" s="446">
        <f t="shared" si="5"/>
        <v>2.8</v>
      </c>
      <c r="N7" s="4">
        <f t="shared" si="1"/>
        <v>3</v>
      </c>
      <c r="O7" s="446">
        <f t="shared" si="5"/>
        <v>3</v>
      </c>
      <c r="P7" s="4">
        <f t="shared" si="2"/>
        <v>3</v>
      </c>
      <c r="Q7" s="447">
        <f t="shared" si="5"/>
        <v>3.2</v>
      </c>
      <c r="R7" s="6">
        <f t="shared" si="3"/>
        <v>3</v>
      </c>
      <c r="S7" s="158"/>
      <c r="T7" s="158"/>
    </row>
    <row r="8" spans="1:20" ht="15.95" customHeight="1" thickBot="1" x14ac:dyDescent="0.25">
      <c r="A8" s="439">
        <f>1</f>
        <v>1</v>
      </c>
      <c r="B8" s="440" t="s">
        <v>8</v>
      </c>
      <c r="C8" s="441">
        <f t="shared" si="4"/>
        <v>5</v>
      </c>
      <c r="D8" s="442"/>
      <c r="E8" s="443"/>
      <c r="F8" s="444"/>
      <c r="G8" s="445">
        <f t="shared" si="5"/>
        <v>2.5</v>
      </c>
      <c r="H8" s="4">
        <f t="shared" si="6"/>
        <v>2</v>
      </c>
      <c r="I8" s="446">
        <f t="shared" si="5"/>
        <v>2.7</v>
      </c>
      <c r="J8" s="4">
        <f t="shared" si="6"/>
        <v>3</v>
      </c>
      <c r="K8" s="446">
        <f t="shared" si="5"/>
        <v>2.9</v>
      </c>
      <c r="L8" s="4">
        <f t="shared" si="0"/>
        <v>3</v>
      </c>
      <c r="M8" s="446">
        <f t="shared" si="5"/>
        <v>3.1</v>
      </c>
      <c r="N8" s="4">
        <f t="shared" si="1"/>
        <v>3</v>
      </c>
      <c r="O8" s="446">
        <f t="shared" si="5"/>
        <v>3.3</v>
      </c>
      <c r="P8" s="4">
        <f t="shared" si="2"/>
        <v>3</v>
      </c>
      <c r="Q8" s="447">
        <f t="shared" si="5"/>
        <v>3.5</v>
      </c>
      <c r="R8" s="6">
        <f t="shared" si="3"/>
        <v>3</v>
      </c>
      <c r="S8" s="158"/>
      <c r="T8" s="158"/>
    </row>
    <row r="9" spans="1:20" ht="15.95" customHeight="1" x14ac:dyDescent="0.2">
      <c r="A9" s="448">
        <f>2</f>
        <v>2</v>
      </c>
      <c r="B9" s="449" t="s">
        <v>6</v>
      </c>
      <c r="C9" s="450">
        <f t="shared" si="4"/>
        <v>2</v>
      </c>
      <c r="D9" s="451" t="s">
        <v>5</v>
      </c>
      <c r="E9" s="452">
        <v>1</v>
      </c>
      <c r="F9" s="453" t="s">
        <v>38</v>
      </c>
      <c r="G9" s="454">
        <f t="shared" si="5"/>
        <v>2.4</v>
      </c>
      <c r="H9" s="455">
        <f t="shared" si="6"/>
        <v>2</v>
      </c>
      <c r="I9" s="456">
        <f t="shared" si="5"/>
        <v>2.6</v>
      </c>
      <c r="J9" s="455">
        <f t="shared" si="6"/>
        <v>3</v>
      </c>
      <c r="K9" s="456">
        <f t="shared" si="5"/>
        <v>2.8</v>
      </c>
      <c r="L9" s="455">
        <f t="shared" si="0"/>
        <v>3</v>
      </c>
      <c r="M9" s="456">
        <f t="shared" si="5"/>
        <v>3</v>
      </c>
      <c r="N9" s="455">
        <f t="shared" si="1"/>
        <v>3</v>
      </c>
      <c r="O9" s="456">
        <f t="shared" si="5"/>
        <v>3.2</v>
      </c>
      <c r="P9" s="455">
        <f t="shared" si="2"/>
        <v>3</v>
      </c>
      <c r="Q9" s="457">
        <f t="shared" si="5"/>
        <v>3.4</v>
      </c>
      <c r="R9" s="458">
        <f t="shared" si="3"/>
        <v>3</v>
      </c>
      <c r="S9" s="158"/>
      <c r="T9" s="158"/>
    </row>
    <row r="10" spans="1:20" ht="15.95" customHeight="1" x14ac:dyDescent="0.2">
      <c r="A10" s="459">
        <f>2</f>
        <v>2</v>
      </c>
      <c r="B10" s="440" t="s">
        <v>7</v>
      </c>
      <c r="C10" s="441">
        <f t="shared" si="4"/>
        <v>3</v>
      </c>
      <c r="D10" s="442"/>
      <c r="E10" s="443"/>
      <c r="F10" s="444"/>
      <c r="G10" s="445">
        <f t="shared" si="5"/>
        <v>2.7</v>
      </c>
      <c r="H10" s="460">
        <f t="shared" si="6"/>
        <v>3</v>
      </c>
      <c r="I10" s="446">
        <f t="shared" si="5"/>
        <v>2.9</v>
      </c>
      <c r="J10" s="460">
        <f t="shared" si="6"/>
        <v>3</v>
      </c>
      <c r="K10" s="446">
        <f t="shared" si="5"/>
        <v>3.1</v>
      </c>
      <c r="L10" s="460">
        <f t="shared" si="0"/>
        <v>3</v>
      </c>
      <c r="M10" s="446">
        <f t="shared" si="5"/>
        <v>3.3</v>
      </c>
      <c r="N10" s="460">
        <f t="shared" si="1"/>
        <v>3</v>
      </c>
      <c r="O10" s="446">
        <f t="shared" si="5"/>
        <v>3.5</v>
      </c>
      <c r="P10" s="460">
        <f t="shared" si="2"/>
        <v>3</v>
      </c>
      <c r="Q10" s="447">
        <f t="shared" si="5"/>
        <v>3.7</v>
      </c>
      <c r="R10" s="461">
        <f t="shared" si="3"/>
        <v>4</v>
      </c>
      <c r="S10" s="158"/>
      <c r="T10" s="158"/>
    </row>
    <row r="11" spans="1:20" ht="15.95" customHeight="1" thickBot="1" x14ac:dyDescent="0.25">
      <c r="A11" s="459">
        <f>2</f>
        <v>2</v>
      </c>
      <c r="B11" s="440" t="s">
        <v>8</v>
      </c>
      <c r="C11" s="441">
        <f t="shared" si="4"/>
        <v>4</v>
      </c>
      <c r="D11" s="442"/>
      <c r="E11" s="443"/>
      <c r="F11" s="444"/>
      <c r="G11" s="445">
        <f t="shared" si="5"/>
        <v>3</v>
      </c>
      <c r="H11" s="460">
        <f t="shared" si="6"/>
        <v>3</v>
      </c>
      <c r="I11" s="446">
        <f t="shared" si="5"/>
        <v>3.2</v>
      </c>
      <c r="J11" s="460">
        <f t="shared" si="6"/>
        <v>3</v>
      </c>
      <c r="K11" s="446">
        <f t="shared" si="5"/>
        <v>3.4</v>
      </c>
      <c r="L11" s="460">
        <f t="shared" si="0"/>
        <v>3</v>
      </c>
      <c r="M11" s="446">
        <f t="shared" si="5"/>
        <v>3.6</v>
      </c>
      <c r="N11" s="460">
        <f t="shared" si="1"/>
        <v>4</v>
      </c>
      <c r="O11" s="446">
        <f t="shared" si="5"/>
        <v>3.8</v>
      </c>
      <c r="P11" s="460">
        <f t="shared" si="2"/>
        <v>4</v>
      </c>
      <c r="Q11" s="447">
        <f t="shared" si="5"/>
        <v>4</v>
      </c>
      <c r="R11" s="461">
        <f t="shared" si="3"/>
        <v>4</v>
      </c>
      <c r="S11" s="158"/>
      <c r="T11" s="158"/>
    </row>
    <row r="12" spans="1:20" ht="15.95" customHeight="1" x14ac:dyDescent="0.2">
      <c r="A12" s="448">
        <f>3</f>
        <v>3</v>
      </c>
      <c r="B12" s="449" t="s">
        <v>2</v>
      </c>
      <c r="C12" s="450">
        <f t="shared" si="4"/>
        <v>2</v>
      </c>
      <c r="D12" s="451" t="s">
        <v>4</v>
      </c>
      <c r="E12" s="462" t="s">
        <v>38</v>
      </c>
      <c r="F12" s="463" t="s">
        <v>43</v>
      </c>
      <c r="G12" s="454">
        <f t="shared" si="5"/>
        <v>2</v>
      </c>
      <c r="H12" s="455">
        <f t="shared" si="6"/>
        <v>2</v>
      </c>
      <c r="I12" s="456">
        <f t="shared" si="5"/>
        <v>2.2000000000000002</v>
      </c>
      <c r="J12" s="455">
        <f t="shared" si="6"/>
        <v>2</v>
      </c>
      <c r="K12" s="456">
        <f t="shared" si="5"/>
        <v>2.4</v>
      </c>
      <c r="L12" s="455">
        <f t="shared" si="0"/>
        <v>2</v>
      </c>
      <c r="M12" s="456">
        <f t="shared" si="5"/>
        <v>2.6</v>
      </c>
      <c r="N12" s="455">
        <f t="shared" si="1"/>
        <v>3</v>
      </c>
      <c r="O12" s="456">
        <f t="shared" si="5"/>
        <v>2.8</v>
      </c>
      <c r="P12" s="455">
        <f t="shared" si="2"/>
        <v>3</v>
      </c>
      <c r="Q12" s="457">
        <f t="shared" si="5"/>
        <v>3</v>
      </c>
      <c r="R12" s="458">
        <f t="shared" si="3"/>
        <v>3</v>
      </c>
      <c r="S12" s="158"/>
      <c r="T12" s="158"/>
    </row>
    <row r="13" spans="1:20" ht="15.95" customHeight="1" x14ac:dyDescent="0.2">
      <c r="A13" s="459">
        <f>3</f>
        <v>3</v>
      </c>
      <c r="B13" s="440" t="s">
        <v>7</v>
      </c>
      <c r="C13" s="414">
        <f t="shared" si="4"/>
        <v>2</v>
      </c>
      <c r="D13" s="464" t="s">
        <v>6</v>
      </c>
      <c r="E13" s="465" t="s">
        <v>44</v>
      </c>
      <c r="F13" s="466" t="s">
        <v>38</v>
      </c>
      <c r="G13" s="445">
        <f t="shared" si="5"/>
        <v>3.2</v>
      </c>
      <c r="H13" s="467">
        <f t="shared" si="6"/>
        <v>3</v>
      </c>
      <c r="I13" s="446">
        <f t="shared" si="5"/>
        <v>3.4</v>
      </c>
      <c r="J13" s="467">
        <f t="shared" si="6"/>
        <v>3</v>
      </c>
      <c r="K13" s="446">
        <f t="shared" si="5"/>
        <v>3.6</v>
      </c>
      <c r="L13" s="467">
        <f t="shared" si="0"/>
        <v>4</v>
      </c>
      <c r="M13" s="446">
        <f t="shared" si="5"/>
        <v>3.8</v>
      </c>
      <c r="N13" s="467">
        <f t="shared" si="1"/>
        <v>4</v>
      </c>
      <c r="O13" s="446">
        <f t="shared" si="5"/>
        <v>4</v>
      </c>
      <c r="P13" s="467">
        <f t="shared" si="2"/>
        <v>4</v>
      </c>
      <c r="Q13" s="447">
        <f t="shared" si="5"/>
        <v>4.2</v>
      </c>
      <c r="R13" s="468">
        <f t="shared" si="3"/>
        <v>4</v>
      </c>
      <c r="S13" s="158"/>
      <c r="T13" s="158"/>
    </row>
    <row r="14" spans="1:20" ht="15.95" customHeight="1" thickBot="1" x14ac:dyDescent="0.25">
      <c r="A14" s="459">
        <f>3</f>
        <v>3</v>
      </c>
      <c r="B14" s="440" t="s">
        <v>8</v>
      </c>
      <c r="C14" s="441">
        <f t="shared" si="4"/>
        <v>3</v>
      </c>
      <c r="D14" s="442"/>
      <c r="E14" s="443"/>
      <c r="F14" s="444"/>
      <c r="G14" s="445">
        <f t="shared" si="5"/>
        <v>3.5</v>
      </c>
      <c r="H14" s="467">
        <f t="shared" si="6"/>
        <v>3</v>
      </c>
      <c r="I14" s="446">
        <f t="shared" si="5"/>
        <v>3.7</v>
      </c>
      <c r="J14" s="467">
        <f t="shared" si="6"/>
        <v>4</v>
      </c>
      <c r="K14" s="446">
        <f t="shared" si="5"/>
        <v>3.9</v>
      </c>
      <c r="L14" s="467">
        <f t="shared" si="0"/>
        <v>4</v>
      </c>
      <c r="M14" s="446">
        <f t="shared" si="5"/>
        <v>4.0999999999999996</v>
      </c>
      <c r="N14" s="467">
        <f t="shared" si="1"/>
        <v>4</v>
      </c>
      <c r="O14" s="446">
        <f t="shared" si="5"/>
        <v>4.3</v>
      </c>
      <c r="P14" s="467">
        <f t="shared" si="2"/>
        <v>4</v>
      </c>
      <c r="Q14" s="447">
        <f t="shared" si="5"/>
        <v>4.5</v>
      </c>
      <c r="R14" s="468">
        <f t="shared" si="3"/>
        <v>4</v>
      </c>
      <c r="S14" s="158"/>
      <c r="T14" s="158"/>
    </row>
    <row r="15" spans="1:20" ht="15.95" customHeight="1" x14ac:dyDescent="0.2">
      <c r="A15" s="448">
        <f>4</f>
        <v>4</v>
      </c>
      <c r="B15" s="449" t="s">
        <v>2</v>
      </c>
      <c r="C15" s="469">
        <f t="shared" si="4"/>
        <v>3</v>
      </c>
      <c r="D15" s="470"/>
      <c r="E15" s="471"/>
      <c r="F15" s="472"/>
      <c r="G15" s="454">
        <f t="shared" si="5"/>
        <v>2.5</v>
      </c>
      <c r="H15" s="455">
        <f t="shared" si="6"/>
        <v>2</v>
      </c>
      <c r="I15" s="456">
        <f t="shared" si="5"/>
        <v>2.7</v>
      </c>
      <c r="J15" s="455">
        <f t="shared" si="6"/>
        <v>3</v>
      </c>
      <c r="K15" s="456">
        <f t="shared" si="5"/>
        <v>2.9</v>
      </c>
      <c r="L15" s="455">
        <f t="shared" si="0"/>
        <v>3</v>
      </c>
      <c r="M15" s="456">
        <f t="shared" si="5"/>
        <v>3.1</v>
      </c>
      <c r="N15" s="455">
        <f t="shared" si="1"/>
        <v>3</v>
      </c>
      <c r="O15" s="456">
        <f t="shared" si="5"/>
        <v>3.3</v>
      </c>
      <c r="P15" s="455">
        <f t="shared" si="2"/>
        <v>3</v>
      </c>
      <c r="Q15" s="457">
        <f t="shared" si="5"/>
        <v>3.5</v>
      </c>
      <c r="R15" s="458">
        <f t="shared" si="3"/>
        <v>3</v>
      </c>
      <c r="S15" s="158"/>
      <c r="T15" s="158"/>
    </row>
    <row r="16" spans="1:20" ht="15.95" customHeight="1" x14ac:dyDescent="0.2">
      <c r="A16" s="459">
        <f>4</f>
        <v>4</v>
      </c>
      <c r="B16" s="440" t="s">
        <v>4</v>
      </c>
      <c r="C16" s="414">
        <f t="shared" si="4"/>
        <v>2</v>
      </c>
      <c r="D16" s="464" t="s">
        <v>5</v>
      </c>
      <c r="E16" s="473" t="s">
        <v>38</v>
      </c>
      <c r="F16" s="474" t="s">
        <v>42</v>
      </c>
      <c r="G16" s="445">
        <f t="shared" si="5"/>
        <v>2.8</v>
      </c>
      <c r="H16" s="460">
        <f t="shared" si="6"/>
        <v>3</v>
      </c>
      <c r="I16" s="446">
        <f t="shared" si="5"/>
        <v>3</v>
      </c>
      <c r="J16" s="460">
        <f t="shared" si="6"/>
        <v>3</v>
      </c>
      <c r="K16" s="446">
        <f t="shared" si="5"/>
        <v>3.2</v>
      </c>
      <c r="L16" s="460">
        <f t="shared" si="0"/>
        <v>3</v>
      </c>
      <c r="M16" s="446">
        <f t="shared" si="5"/>
        <v>3.4</v>
      </c>
      <c r="N16" s="460">
        <f t="shared" si="1"/>
        <v>3</v>
      </c>
      <c r="O16" s="446">
        <f t="shared" si="5"/>
        <v>3.6</v>
      </c>
      <c r="P16" s="460">
        <f t="shared" si="2"/>
        <v>4</v>
      </c>
      <c r="Q16" s="447">
        <f t="shared" si="5"/>
        <v>3.8</v>
      </c>
      <c r="R16" s="461">
        <f t="shared" si="3"/>
        <v>4</v>
      </c>
      <c r="S16" s="158"/>
      <c r="T16" s="158"/>
    </row>
    <row r="17" spans="1:20" ht="15.95" customHeight="1" thickBot="1" x14ac:dyDescent="0.25">
      <c r="A17" s="459">
        <f>4</f>
        <v>4</v>
      </c>
      <c r="B17" s="440" t="s">
        <v>8</v>
      </c>
      <c r="C17" s="414">
        <f t="shared" si="4"/>
        <v>2</v>
      </c>
      <c r="D17" s="464" t="s">
        <v>7</v>
      </c>
      <c r="E17" s="465" t="s">
        <v>41</v>
      </c>
      <c r="F17" s="466" t="s">
        <v>38</v>
      </c>
      <c r="G17" s="445">
        <f t="shared" si="5"/>
        <v>4</v>
      </c>
      <c r="H17" s="467">
        <f t="shared" si="6"/>
        <v>4</v>
      </c>
      <c r="I17" s="446">
        <f t="shared" si="5"/>
        <v>4.2</v>
      </c>
      <c r="J17" s="467">
        <f t="shared" si="6"/>
        <v>4</v>
      </c>
      <c r="K17" s="446">
        <f t="shared" si="5"/>
        <v>4.4000000000000004</v>
      </c>
      <c r="L17" s="467">
        <f t="shared" si="0"/>
        <v>4</v>
      </c>
      <c r="M17" s="446">
        <f t="shared" si="5"/>
        <v>4.5999999999999996</v>
      </c>
      <c r="N17" s="467">
        <f t="shared" si="1"/>
        <v>5</v>
      </c>
      <c r="O17" s="446">
        <f t="shared" si="5"/>
        <v>4.8</v>
      </c>
      <c r="P17" s="467">
        <f t="shared" si="2"/>
        <v>5</v>
      </c>
      <c r="Q17" s="447">
        <f>(5*$A17+3*$B17+2*Q$3)/10</f>
        <v>5</v>
      </c>
      <c r="R17" s="468">
        <f t="shared" si="3"/>
        <v>5</v>
      </c>
      <c r="S17" s="158"/>
      <c r="T17" s="158"/>
    </row>
    <row r="18" spans="1:20" ht="15.95" customHeight="1" x14ac:dyDescent="0.2">
      <c r="A18" s="448">
        <f>5</f>
        <v>5</v>
      </c>
      <c r="B18" s="449" t="s">
        <v>2</v>
      </c>
      <c r="C18" s="469">
        <f t="shared" si="4"/>
        <v>4</v>
      </c>
      <c r="D18" s="470"/>
      <c r="E18" s="471"/>
      <c r="F18" s="472"/>
      <c r="G18" s="454">
        <f t="shared" si="5"/>
        <v>3</v>
      </c>
      <c r="H18" s="475">
        <f t="shared" si="6"/>
        <v>3</v>
      </c>
      <c r="I18" s="456">
        <f t="shared" si="5"/>
        <v>3.2</v>
      </c>
      <c r="J18" s="475">
        <f t="shared" si="6"/>
        <v>3</v>
      </c>
      <c r="K18" s="456">
        <f t="shared" si="5"/>
        <v>3.4</v>
      </c>
      <c r="L18" s="475">
        <f t="shared" si="0"/>
        <v>3</v>
      </c>
      <c r="M18" s="456">
        <f t="shared" si="5"/>
        <v>3.6</v>
      </c>
      <c r="N18" s="475">
        <f t="shared" si="1"/>
        <v>4</v>
      </c>
      <c r="O18" s="456">
        <f t="shared" si="5"/>
        <v>3.8</v>
      </c>
      <c r="P18" s="475">
        <f t="shared" si="2"/>
        <v>4</v>
      </c>
      <c r="Q18" s="457">
        <f t="shared" si="5"/>
        <v>4</v>
      </c>
      <c r="R18" s="476">
        <f t="shared" si="3"/>
        <v>4</v>
      </c>
      <c r="S18" s="158"/>
      <c r="T18" s="158"/>
    </row>
    <row r="19" spans="1:20" ht="15.95" customHeight="1" x14ac:dyDescent="0.2">
      <c r="A19" s="459">
        <f>5</f>
        <v>5</v>
      </c>
      <c r="B19" s="440" t="s">
        <v>4</v>
      </c>
      <c r="C19" s="441">
        <f t="shared" si="4"/>
        <v>3</v>
      </c>
      <c r="D19" s="442"/>
      <c r="E19" s="443"/>
      <c r="F19" s="444"/>
      <c r="G19" s="445">
        <f t="shared" si="5"/>
        <v>3.3</v>
      </c>
      <c r="H19" s="477">
        <f t="shared" si="6"/>
        <v>3</v>
      </c>
      <c r="I19" s="446">
        <f t="shared" si="5"/>
        <v>3.5</v>
      </c>
      <c r="J19" s="477">
        <f t="shared" si="6"/>
        <v>3</v>
      </c>
      <c r="K19" s="446">
        <f t="shared" si="5"/>
        <v>3.7</v>
      </c>
      <c r="L19" s="477">
        <f t="shared" si="0"/>
        <v>4</v>
      </c>
      <c r="M19" s="446">
        <f t="shared" si="5"/>
        <v>3.9</v>
      </c>
      <c r="N19" s="477">
        <f t="shared" si="1"/>
        <v>4</v>
      </c>
      <c r="O19" s="446">
        <f t="shared" si="5"/>
        <v>4.0999999999999996</v>
      </c>
      <c r="P19" s="477">
        <f t="shared" si="2"/>
        <v>4</v>
      </c>
      <c r="Q19" s="447">
        <f t="shared" si="5"/>
        <v>4.3</v>
      </c>
      <c r="R19" s="478">
        <f t="shared" si="3"/>
        <v>4</v>
      </c>
      <c r="S19" s="158"/>
      <c r="T19" s="158"/>
    </row>
    <row r="20" spans="1:20" ht="15.95" customHeight="1" thickBot="1" x14ac:dyDescent="0.25">
      <c r="A20" s="459">
        <f>5</f>
        <v>5</v>
      </c>
      <c r="B20" s="440" t="s">
        <v>5</v>
      </c>
      <c r="C20" s="414">
        <f t="shared" si="4"/>
        <v>2</v>
      </c>
      <c r="D20" s="464" t="s">
        <v>6</v>
      </c>
      <c r="E20" s="473" t="s">
        <v>38</v>
      </c>
      <c r="F20" s="474">
        <v>6</v>
      </c>
      <c r="G20" s="445">
        <f t="shared" si="5"/>
        <v>3.6</v>
      </c>
      <c r="H20" s="477">
        <f t="shared" si="6"/>
        <v>4</v>
      </c>
      <c r="I20" s="446">
        <f t="shared" si="5"/>
        <v>3.8</v>
      </c>
      <c r="J20" s="477">
        <f t="shared" si="6"/>
        <v>4</v>
      </c>
      <c r="K20" s="446">
        <f t="shared" si="5"/>
        <v>4</v>
      </c>
      <c r="L20" s="477">
        <f t="shared" si="0"/>
        <v>4</v>
      </c>
      <c r="M20" s="446">
        <f t="shared" si="5"/>
        <v>4.2</v>
      </c>
      <c r="N20" s="477">
        <f t="shared" si="1"/>
        <v>4</v>
      </c>
      <c r="O20" s="446">
        <f t="shared" si="5"/>
        <v>4.4000000000000004</v>
      </c>
      <c r="P20" s="477">
        <f t="shared" si="2"/>
        <v>4</v>
      </c>
      <c r="Q20" s="447">
        <f t="shared" si="5"/>
        <v>4.5999999999999996</v>
      </c>
      <c r="R20" s="478">
        <f t="shared" si="3"/>
        <v>5</v>
      </c>
      <c r="S20" s="158"/>
      <c r="T20" s="158"/>
    </row>
    <row r="21" spans="1:20" ht="15.95" customHeight="1" x14ac:dyDescent="0.2">
      <c r="A21" s="448">
        <f>6</f>
        <v>6</v>
      </c>
      <c r="B21" s="449" t="s">
        <v>2</v>
      </c>
      <c r="C21" s="469">
        <f t="shared" si="4"/>
        <v>5</v>
      </c>
      <c r="D21" s="470"/>
      <c r="E21" s="471"/>
      <c r="F21" s="472"/>
      <c r="G21" s="454">
        <f t="shared" si="5"/>
        <v>3.5</v>
      </c>
      <c r="H21" s="475">
        <f t="shared" si="6"/>
        <v>3</v>
      </c>
      <c r="I21" s="456">
        <f t="shared" si="5"/>
        <v>3.7</v>
      </c>
      <c r="J21" s="475">
        <f t="shared" si="6"/>
        <v>4</v>
      </c>
      <c r="K21" s="456">
        <f t="shared" si="5"/>
        <v>3.9</v>
      </c>
      <c r="L21" s="475">
        <f t="shared" si="0"/>
        <v>4</v>
      </c>
      <c r="M21" s="456">
        <f t="shared" si="5"/>
        <v>4.0999999999999996</v>
      </c>
      <c r="N21" s="475">
        <f t="shared" si="1"/>
        <v>4</v>
      </c>
      <c r="O21" s="456">
        <f t="shared" si="5"/>
        <v>4.3</v>
      </c>
      <c r="P21" s="475">
        <f t="shared" si="2"/>
        <v>4</v>
      </c>
      <c r="Q21" s="457">
        <f t="shared" si="5"/>
        <v>4.5</v>
      </c>
      <c r="R21" s="476">
        <f t="shared" si="3"/>
        <v>4</v>
      </c>
      <c r="S21" s="158"/>
      <c r="T21" s="158"/>
    </row>
    <row r="22" spans="1:20" ht="15.95" customHeight="1" x14ac:dyDescent="0.2">
      <c r="A22" s="459">
        <f>6</f>
        <v>6</v>
      </c>
      <c r="B22" s="440" t="s">
        <v>4</v>
      </c>
      <c r="C22" s="441">
        <f t="shared" si="4"/>
        <v>4</v>
      </c>
      <c r="D22" s="442"/>
      <c r="E22" s="443"/>
      <c r="F22" s="444"/>
      <c r="G22" s="445">
        <f t="shared" si="5"/>
        <v>3.8</v>
      </c>
      <c r="H22" s="479">
        <f t="shared" si="6"/>
        <v>4</v>
      </c>
      <c r="I22" s="446">
        <f t="shared" si="5"/>
        <v>4</v>
      </c>
      <c r="J22" s="479">
        <f t="shared" si="6"/>
        <v>4</v>
      </c>
      <c r="K22" s="446">
        <f t="shared" si="5"/>
        <v>4.2</v>
      </c>
      <c r="L22" s="479">
        <f t="shared" si="0"/>
        <v>4</v>
      </c>
      <c r="M22" s="446">
        <f t="shared" si="5"/>
        <v>4.4000000000000004</v>
      </c>
      <c r="N22" s="479">
        <f t="shared" si="1"/>
        <v>4</v>
      </c>
      <c r="O22" s="446">
        <f t="shared" si="5"/>
        <v>4.5999999999999996</v>
      </c>
      <c r="P22" s="479">
        <f t="shared" si="2"/>
        <v>5</v>
      </c>
      <c r="Q22" s="447">
        <f t="shared" si="5"/>
        <v>4.8</v>
      </c>
      <c r="R22" s="480">
        <f t="shared" si="3"/>
        <v>5</v>
      </c>
      <c r="S22" s="158"/>
      <c r="T22" s="158"/>
    </row>
    <row r="23" spans="1:20" ht="15.95" customHeight="1" x14ac:dyDescent="0.2">
      <c r="A23" s="459">
        <f>6</f>
        <v>6</v>
      </c>
      <c r="B23" s="440" t="s">
        <v>5</v>
      </c>
      <c r="C23" s="441">
        <f t="shared" si="4"/>
        <v>3</v>
      </c>
      <c r="D23" s="442"/>
      <c r="E23" s="443"/>
      <c r="F23" s="444"/>
      <c r="G23" s="445">
        <f t="shared" si="5"/>
        <v>4.0999999999999996</v>
      </c>
      <c r="H23" s="477">
        <f t="shared" si="6"/>
        <v>4</v>
      </c>
      <c r="I23" s="446">
        <f t="shared" si="5"/>
        <v>4.3</v>
      </c>
      <c r="J23" s="477">
        <f t="shared" si="6"/>
        <v>4</v>
      </c>
      <c r="K23" s="446">
        <f t="shared" si="5"/>
        <v>4.5</v>
      </c>
      <c r="L23" s="477">
        <f t="shared" si="0"/>
        <v>4</v>
      </c>
      <c r="M23" s="446">
        <f t="shared" si="5"/>
        <v>4.7</v>
      </c>
      <c r="N23" s="477">
        <f t="shared" si="1"/>
        <v>5</v>
      </c>
      <c r="O23" s="446">
        <f t="shared" si="5"/>
        <v>4.9000000000000004</v>
      </c>
      <c r="P23" s="477">
        <f t="shared" si="2"/>
        <v>5</v>
      </c>
      <c r="Q23" s="447">
        <f t="shared" si="5"/>
        <v>5.0999999999999996</v>
      </c>
      <c r="R23" s="478">
        <f t="shared" si="3"/>
        <v>5</v>
      </c>
      <c r="S23" s="158"/>
      <c r="T23" s="158"/>
    </row>
    <row r="24" spans="1:20" ht="15.95" customHeight="1" thickBot="1" x14ac:dyDescent="0.25">
      <c r="A24" s="481">
        <f>6</f>
        <v>6</v>
      </c>
      <c r="B24" s="482" t="s">
        <v>6</v>
      </c>
      <c r="C24" s="424">
        <f t="shared" si="4"/>
        <v>2</v>
      </c>
      <c r="D24" s="483" t="s">
        <v>7</v>
      </c>
      <c r="E24" s="484">
        <v>1</v>
      </c>
      <c r="F24" s="485" t="s">
        <v>38</v>
      </c>
      <c r="G24" s="486">
        <f t="shared" si="5"/>
        <v>4.4000000000000004</v>
      </c>
      <c r="H24" s="487">
        <f t="shared" si="6"/>
        <v>4</v>
      </c>
      <c r="I24" s="488">
        <f t="shared" si="5"/>
        <v>4.5999999999999996</v>
      </c>
      <c r="J24" s="487">
        <f t="shared" si="6"/>
        <v>5</v>
      </c>
      <c r="K24" s="488">
        <f t="shared" si="5"/>
        <v>4.8</v>
      </c>
      <c r="L24" s="487">
        <f t="shared" si="0"/>
        <v>5</v>
      </c>
      <c r="M24" s="488">
        <f t="shared" si="5"/>
        <v>5</v>
      </c>
      <c r="N24" s="487">
        <f t="shared" si="1"/>
        <v>5</v>
      </c>
      <c r="O24" s="488">
        <f t="shared" si="5"/>
        <v>5.2</v>
      </c>
      <c r="P24" s="487">
        <f t="shared" si="2"/>
        <v>5</v>
      </c>
      <c r="Q24" s="489">
        <f t="shared" si="5"/>
        <v>5.4</v>
      </c>
      <c r="R24" s="490">
        <f t="shared" si="3"/>
        <v>5</v>
      </c>
      <c r="S24" s="158"/>
      <c r="T24" s="158"/>
    </row>
    <row r="25" spans="1:20" ht="15.95" customHeight="1" thickTop="1" x14ac:dyDescent="0.2">
      <c r="A25" s="405"/>
      <c r="B25" s="405"/>
      <c r="C25" s="491" t="s">
        <v>29</v>
      </c>
      <c r="D25" s="405"/>
      <c r="E25" s="405"/>
      <c r="F25" s="405"/>
      <c r="G25" s="405"/>
      <c r="H25" s="492" t="s">
        <v>39</v>
      </c>
      <c r="I25" s="405"/>
      <c r="J25" s="405"/>
      <c r="K25" s="405"/>
      <c r="L25" s="405"/>
      <c r="M25" s="405"/>
      <c r="N25" s="405"/>
      <c r="O25" s="405"/>
      <c r="P25" s="405"/>
      <c r="Q25" s="405"/>
      <c r="R25" s="405"/>
      <c r="S25" s="405"/>
      <c r="T25" s="158"/>
    </row>
    <row r="26" spans="1:20" ht="15.95" customHeight="1" x14ac:dyDescent="0.2">
      <c r="A26" s="405"/>
      <c r="B26" s="405"/>
      <c r="C26" s="491" t="s">
        <v>30</v>
      </c>
      <c r="D26" s="405"/>
      <c r="E26" s="405"/>
      <c r="F26" s="405"/>
      <c r="G26" s="405"/>
      <c r="H26" s="405"/>
      <c r="I26" s="405"/>
      <c r="J26" s="405"/>
      <c r="K26" s="492"/>
      <c r="L26" s="492"/>
      <c r="M26" s="492"/>
      <c r="N26" s="493" t="s">
        <v>37</v>
      </c>
      <c r="O26" s="494" t="s">
        <v>34</v>
      </c>
      <c r="P26" s="495" t="s">
        <v>35</v>
      </c>
      <c r="Q26" s="496" t="s">
        <v>36</v>
      </c>
      <c r="R26" s="492"/>
      <c r="S26" s="405"/>
      <c r="T26" s="158"/>
    </row>
    <row r="27" spans="1:20" ht="15.95" customHeight="1" x14ac:dyDescent="0.2">
      <c r="A27" s="497"/>
      <c r="B27" s="497" t="s">
        <v>11</v>
      </c>
      <c r="C27" s="498">
        <v>0</v>
      </c>
      <c r="D27" s="492" t="s">
        <v>23</v>
      </c>
      <c r="E27" s="405"/>
      <c r="F27" s="405"/>
      <c r="G27" s="405"/>
      <c r="H27" s="405"/>
      <c r="I27" s="405"/>
      <c r="J27" s="405"/>
      <c r="K27" s="492"/>
      <c r="L27" s="492"/>
      <c r="M27" s="492"/>
      <c r="N27" s="492"/>
      <c r="O27" s="499" t="s">
        <v>45</v>
      </c>
      <c r="P27" s="499" t="s">
        <v>46</v>
      </c>
      <c r="Q27" s="499" t="s">
        <v>47</v>
      </c>
      <c r="R27" s="500"/>
      <c r="S27" s="405"/>
      <c r="T27" s="158"/>
    </row>
    <row r="28" spans="1:20" ht="15.95" customHeight="1" x14ac:dyDescent="0.2">
      <c r="A28" s="497"/>
      <c r="B28" s="497" t="s">
        <v>11</v>
      </c>
      <c r="C28" s="498">
        <v>1</v>
      </c>
      <c r="D28" s="492" t="s">
        <v>416</v>
      </c>
      <c r="E28" s="405"/>
      <c r="F28" s="405"/>
      <c r="G28" s="405"/>
      <c r="H28" s="405"/>
      <c r="I28" s="405"/>
      <c r="J28" s="405"/>
      <c r="K28" s="405"/>
      <c r="L28" s="405"/>
      <c r="M28" s="405"/>
      <c r="N28" s="405"/>
      <c r="O28" s="405"/>
      <c r="P28" s="405"/>
      <c r="Q28" s="405"/>
      <c r="R28" s="429"/>
      <c r="S28" s="405"/>
      <c r="T28" s="158"/>
    </row>
    <row r="29" spans="1:20" ht="15.95" customHeight="1" x14ac:dyDescent="0.2">
      <c r="A29" s="497"/>
      <c r="B29" s="497" t="s">
        <v>11</v>
      </c>
      <c r="C29" s="501">
        <v>2</v>
      </c>
      <c r="D29" s="502" t="str">
        <f>COUNTIF($C$5:$C$24,"=2")&amp;" x"</f>
        <v>8 x</v>
      </c>
      <c r="E29" s="503" t="s">
        <v>21</v>
      </c>
      <c r="F29" s="503"/>
      <c r="G29" s="503"/>
      <c r="H29" s="503"/>
      <c r="I29" s="503"/>
      <c r="J29" s="503" t="s">
        <v>19</v>
      </c>
      <c r="K29" s="504" t="s">
        <v>415</v>
      </c>
      <c r="L29" s="405"/>
      <c r="M29" s="405"/>
      <c r="N29" s="405"/>
      <c r="O29" s="405"/>
      <c r="P29" s="405"/>
      <c r="Q29" s="405"/>
      <c r="R29" s="405"/>
      <c r="S29" s="405"/>
      <c r="T29" s="158"/>
    </row>
    <row r="30" spans="1:20" ht="15.95" customHeight="1" x14ac:dyDescent="0.2">
      <c r="A30" s="497"/>
      <c r="B30" s="429"/>
      <c r="C30" s="405"/>
      <c r="D30" s="405"/>
      <c r="E30" s="405"/>
      <c r="F30" s="405"/>
      <c r="G30" s="405"/>
      <c r="H30" s="405"/>
      <c r="I30" s="405"/>
      <c r="J30" s="503" t="s">
        <v>20</v>
      </c>
      <c r="K30" s="579" t="s">
        <v>31</v>
      </c>
      <c r="L30" s="580"/>
      <c r="M30" s="580"/>
      <c r="N30" s="580"/>
      <c r="O30" s="580"/>
      <c r="P30" s="580"/>
      <c r="Q30" s="580"/>
      <c r="R30" s="580"/>
      <c r="S30" s="158"/>
      <c r="T30" s="158"/>
    </row>
    <row r="31" spans="1:20" x14ac:dyDescent="0.2">
      <c r="A31" s="497"/>
      <c r="B31" s="497" t="s">
        <v>11</v>
      </c>
      <c r="C31" s="505" t="s">
        <v>15</v>
      </c>
      <c r="D31" s="506" t="str">
        <f>COUNTIF($C$5:$C$24,"&gt;2")&amp;" x"</f>
        <v>12 x</v>
      </c>
      <c r="E31" s="507" t="s">
        <v>22</v>
      </c>
      <c r="F31" s="507"/>
      <c r="G31" s="507"/>
      <c r="H31" s="507"/>
      <c r="I31" s="507"/>
      <c r="J31" s="405"/>
      <c r="K31" s="580"/>
      <c r="L31" s="580"/>
      <c r="M31" s="580"/>
      <c r="N31" s="580"/>
      <c r="O31" s="580"/>
      <c r="P31" s="580"/>
      <c r="Q31" s="580"/>
      <c r="R31" s="580"/>
      <c r="S31" s="158"/>
      <c r="T31" s="158"/>
    </row>
    <row r="32" spans="1:20" x14ac:dyDescent="0.2">
      <c r="A32" s="405"/>
      <c r="B32" s="429"/>
      <c r="C32" s="405"/>
      <c r="D32" s="405"/>
      <c r="E32" s="405"/>
      <c r="F32" s="405"/>
      <c r="G32" s="405"/>
      <c r="H32" s="405"/>
      <c r="I32" s="405"/>
      <c r="J32" s="405"/>
      <c r="K32" s="405"/>
      <c r="L32" s="405"/>
      <c r="M32" s="405"/>
      <c r="N32" s="405"/>
      <c r="O32" s="405"/>
      <c r="P32" s="405"/>
      <c r="Q32" s="405"/>
      <c r="R32" s="405"/>
      <c r="S32" s="405"/>
      <c r="T32" s="158"/>
    </row>
    <row r="33" spans="1:20" x14ac:dyDescent="0.2">
      <c r="A33" s="405"/>
      <c r="B33" s="508" t="s">
        <v>417</v>
      </c>
      <c r="C33" s="405"/>
      <c r="D33" s="405"/>
      <c r="E33" s="405"/>
      <c r="F33" s="405"/>
      <c r="G33" s="405"/>
      <c r="H33" s="497" t="s">
        <v>40</v>
      </c>
      <c r="I33" s="509" t="s">
        <v>9</v>
      </c>
      <c r="J33" s="405"/>
      <c r="K33" s="405" t="s">
        <v>418</v>
      </c>
      <c r="L33" s="405"/>
      <c r="M33" s="405"/>
      <c r="N33" s="405"/>
      <c r="O33" s="405"/>
      <c r="P33" s="405"/>
      <c r="Q33" s="405"/>
      <c r="R33" s="405"/>
      <c r="S33" s="405"/>
      <c r="T33" s="158"/>
    </row>
    <row r="34" spans="1:20" x14ac:dyDescent="0.2">
      <c r="A34" s="405"/>
      <c r="B34" s="429"/>
      <c r="C34" s="405"/>
      <c r="D34" s="405"/>
      <c r="E34" s="405"/>
      <c r="F34" s="405"/>
      <c r="G34" s="405"/>
      <c r="H34" s="405"/>
      <c r="I34" s="509" t="s">
        <v>14</v>
      </c>
      <c r="J34" s="509"/>
      <c r="K34" s="405"/>
      <c r="L34" s="405" t="s">
        <v>419</v>
      </c>
      <c r="M34" s="405"/>
      <c r="N34" s="405"/>
      <c r="O34" s="405"/>
      <c r="P34" s="405"/>
      <c r="Q34" s="405"/>
      <c r="R34" s="405"/>
      <c r="S34" s="405"/>
      <c r="T34" s="158"/>
    </row>
    <row r="35" spans="1:20" x14ac:dyDescent="0.2">
      <c r="A35" s="510" t="s">
        <v>420</v>
      </c>
      <c r="B35" s="429"/>
      <c r="C35" s="405"/>
      <c r="D35" s="405"/>
      <c r="E35" s="405"/>
      <c r="F35" s="405"/>
      <c r="G35" s="405"/>
      <c r="H35" s="405"/>
      <c r="I35" s="405"/>
      <c r="J35" s="405"/>
      <c r="K35" s="405"/>
      <c r="L35" s="405"/>
      <c r="M35" s="405"/>
      <c r="N35" s="405"/>
      <c r="O35" s="405"/>
      <c r="P35" s="405"/>
      <c r="Q35" s="405"/>
      <c r="R35" s="405"/>
      <c r="S35" s="405"/>
      <c r="T35" s="158"/>
    </row>
    <row r="36" spans="1:20" x14ac:dyDescent="0.2">
      <c r="A36" s="510" t="s">
        <v>33</v>
      </c>
      <c r="B36" s="429"/>
      <c r="C36" s="405"/>
      <c r="D36" s="405"/>
      <c r="E36" s="405"/>
      <c r="F36" s="405"/>
      <c r="G36" s="405"/>
      <c r="H36" s="405"/>
      <c r="I36" s="405"/>
      <c r="J36" s="405"/>
      <c r="K36" s="405"/>
      <c r="L36" s="405"/>
      <c r="M36" s="405"/>
      <c r="N36" s="405"/>
      <c r="O36" s="405"/>
      <c r="P36" s="405"/>
      <c r="Q36" s="405"/>
      <c r="R36" s="405"/>
      <c r="S36" s="405"/>
      <c r="T36" s="158"/>
    </row>
    <row r="37" spans="1:20" x14ac:dyDescent="0.2">
      <c r="A37" s="405"/>
      <c r="B37" s="551" t="s">
        <v>421</v>
      </c>
      <c r="C37" s="405"/>
      <c r="D37" s="405"/>
      <c r="E37" s="405"/>
      <c r="F37" s="405"/>
      <c r="G37" s="405"/>
      <c r="H37" s="405"/>
      <c r="I37" s="405"/>
      <c r="J37" s="405"/>
      <c r="K37" s="405"/>
      <c r="L37" s="405"/>
      <c r="M37" s="405"/>
      <c r="N37" s="405"/>
      <c r="O37" s="405"/>
      <c r="P37" s="405"/>
      <c r="Q37" s="405"/>
      <c r="R37" s="405"/>
      <c r="S37" s="405"/>
      <c r="T37" s="158"/>
    </row>
    <row r="38" spans="1:20" x14ac:dyDescent="0.2">
      <c r="A38" s="405"/>
      <c r="B38" s="405"/>
      <c r="C38" s="405"/>
      <c r="D38" s="405"/>
      <c r="E38" s="405"/>
      <c r="F38" s="405"/>
      <c r="G38" s="405"/>
      <c r="H38" s="405"/>
      <c r="I38" s="405"/>
      <c r="J38" s="405"/>
      <c r="K38" s="405"/>
      <c r="L38" s="405"/>
      <c r="M38" s="405"/>
      <c r="N38" s="405"/>
      <c r="O38" s="405"/>
      <c r="P38" s="405"/>
      <c r="Q38" s="405"/>
      <c r="R38" s="405"/>
      <c r="S38" s="405"/>
      <c r="T38" s="158"/>
    </row>
    <row r="39" spans="1:2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20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20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20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</sheetData>
  <sheetProtection sheet="1" objects="1" scenarios="1"/>
  <mergeCells count="3">
    <mergeCell ref="G2:R2"/>
    <mergeCell ref="E4:F4"/>
    <mergeCell ref="K30:R31"/>
  </mergeCells>
  <phoneticPr fontId="2" type="noConversion"/>
  <conditionalFormatting sqref="P5:P24 H5:H24 J5:J24 L5:L24 N5:N24 R5:R24">
    <cfRule type="cellIs" dxfId="2" priority="1" stopIfTrue="1" operator="equal">
      <formula>$A5</formula>
    </cfRule>
    <cfRule type="cellIs" dxfId="1" priority="2" stopIfTrue="1" operator="lessThan">
      <formula>$A5</formula>
    </cfRule>
    <cfRule type="cellIs" dxfId="0" priority="3" stopIfTrue="1" operator="greaterThan">
      <formula>$A5</formula>
    </cfRule>
  </conditionalFormatting>
  <pageMargins left="0.35433070866141736" right="0" top="0.19685039370078741" bottom="0.19685039370078741" header="0" footer="0"/>
  <pageSetup paperSize="9" orientation="landscape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E58"/>
  <sheetViews>
    <sheetView showGridLines="0" topLeftCell="A4" workbookViewId="0">
      <selection activeCell="B22" sqref="B22"/>
    </sheetView>
  </sheetViews>
  <sheetFormatPr baseColWidth="10" defaultRowHeight="12.75" x14ac:dyDescent="0.2"/>
  <cols>
    <col min="1" max="1" width="100.42578125" customWidth="1"/>
  </cols>
  <sheetData>
    <row r="1" spans="1:5" x14ac:dyDescent="0.2">
      <c r="A1" s="511" t="str">
        <f>"Zentrale Prüfungen Klasse 10 für "&amp;$B$1&amp;":"</f>
        <v>Zentrale Prüfungen Klasse 10 für 20:</v>
      </c>
      <c r="B1" s="138" t="str">
        <f>Vorgaben!$G$6</f>
        <v>20</v>
      </c>
      <c r="C1" s="512" t="str">
        <f>Vorgaben!$C$1</f>
        <v>a</v>
      </c>
      <c r="D1" s="513" t="str">
        <f ca="1">Vorgaben!$M$3</f>
        <v>6_0</v>
      </c>
      <c r="E1" s="158"/>
    </row>
    <row r="2" spans="1:5" x14ac:dyDescent="0.2">
      <c r="A2" s="514" t="s">
        <v>189</v>
      </c>
      <c r="B2" s="158"/>
      <c r="C2" s="158"/>
      <c r="D2" s="362" t="s">
        <v>218</v>
      </c>
      <c r="E2" s="158"/>
    </row>
    <row r="3" spans="1:5" ht="6" customHeight="1" x14ac:dyDescent="0.2">
      <c r="A3" s="511"/>
      <c r="B3" s="158"/>
      <c r="C3" s="158"/>
      <c r="D3" s="158"/>
      <c r="E3" s="158"/>
    </row>
    <row r="4" spans="1:5" x14ac:dyDescent="0.2">
      <c r="A4" s="515" t="s">
        <v>134</v>
      </c>
      <c r="B4" s="158"/>
      <c r="C4" s="158"/>
      <c r="D4" s="158"/>
      <c r="E4" s="158"/>
    </row>
    <row r="5" spans="1:5" ht="15.95" customHeight="1" x14ac:dyDescent="0.2">
      <c r="A5" s="405" t="s">
        <v>399</v>
      </c>
      <c r="B5" s="158"/>
      <c r="C5" s="158"/>
      <c r="D5" s="158"/>
      <c r="E5" s="158"/>
    </row>
    <row r="6" spans="1:5" ht="15.95" customHeight="1" x14ac:dyDescent="0.2">
      <c r="A6" s="405" t="str">
        <f ca="1">"In der vorliegenden Datei ZP_10_Auswertungen_Vers_"&amp;$D$1&amp;" werden nur auf dem Arbeitsblatt"</f>
        <v>In der vorliegenden Datei ZP_10_Auswertungen_Vers_6_0 werden nur auf dem Arbeitsblatt</v>
      </c>
      <c r="B6" s="158"/>
      <c r="C6" s="158"/>
      <c r="D6" s="158"/>
      <c r="E6" s="158"/>
    </row>
    <row r="7" spans="1:5" ht="15.95" customHeight="1" x14ac:dyDescent="0.2">
      <c r="A7" s="516" t="s">
        <v>226</v>
      </c>
      <c r="B7" s="158"/>
      <c r="C7" s="158"/>
      <c r="D7" s="158"/>
      <c r="E7" s="158"/>
    </row>
    <row r="8" spans="1:5" ht="6" customHeight="1" x14ac:dyDescent="0.2">
      <c r="A8" s="517"/>
      <c r="B8" s="158"/>
      <c r="C8" s="158"/>
      <c r="D8" s="158"/>
      <c r="E8" s="158"/>
    </row>
    <row r="9" spans="1:5" ht="15.95" customHeight="1" x14ac:dyDescent="0.2">
      <c r="A9" s="7" t="s">
        <v>188</v>
      </c>
      <c r="B9" s="158"/>
      <c r="C9" s="158"/>
      <c r="D9" s="158"/>
      <c r="E9" s="158"/>
    </row>
    <row r="10" spans="1:5" ht="15.95" customHeight="1" x14ac:dyDescent="0.2">
      <c r="A10" s="7" t="s">
        <v>208</v>
      </c>
      <c r="B10" s="158"/>
      <c r="C10" s="158"/>
      <c r="D10" s="158"/>
      <c r="E10" s="158"/>
    </row>
    <row r="11" spans="1:5" ht="15.95" customHeight="1" x14ac:dyDescent="0.2">
      <c r="A11" s="7" t="s">
        <v>132</v>
      </c>
      <c r="B11" s="158"/>
      <c r="C11" s="158"/>
      <c r="D11" s="158"/>
      <c r="E11" s="158"/>
    </row>
    <row r="12" spans="1:5" ht="15.95" customHeight="1" x14ac:dyDescent="0.2">
      <c r="A12" s="7" t="s">
        <v>378</v>
      </c>
      <c r="B12" s="158"/>
      <c r="C12" s="158"/>
      <c r="D12" s="158"/>
      <c r="E12" s="158"/>
    </row>
    <row r="13" spans="1:5" ht="15.95" customHeight="1" x14ac:dyDescent="0.2">
      <c r="A13" s="118" t="str">
        <f>"Danach sollte die Datei unter einem neuen Namen (z.B. ZP_10_Klasse_10"&amp;$C$1&amp;"_"&amp;$B$1&amp;") gespeichert werden."</f>
        <v>Danach sollte die Datei unter einem neuen Namen (z.B. ZP_10_Klasse_10a_20) gespeichert werden.</v>
      </c>
      <c r="B13" s="158"/>
      <c r="C13" s="158"/>
      <c r="D13" s="158"/>
      <c r="E13" s="158"/>
    </row>
    <row r="14" spans="1:5" ht="15.95" customHeight="1" x14ac:dyDescent="0.2">
      <c r="A14" s="103" t="s">
        <v>279</v>
      </c>
      <c r="B14" s="158"/>
      <c r="C14" s="158"/>
      <c r="D14" s="158"/>
      <c r="E14" s="158"/>
    </row>
    <row r="15" spans="1:5" ht="15.95" customHeight="1" x14ac:dyDescent="0.2">
      <c r="A15" s="64" t="s">
        <v>268</v>
      </c>
      <c r="B15" s="158"/>
      <c r="C15" s="158"/>
      <c r="D15" s="158"/>
      <c r="E15" s="158"/>
    </row>
    <row r="16" spans="1:5" ht="15.95" customHeight="1" x14ac:dyDescent="0.2">
      <c r="A16" s="64" t="s">
        <v>272</v>
      </c>
      <c r="B16" s="158"/>
      <c r="C16" s="158"/>
      <c r="D16" s="158"/>
      <c r="E16" s="158"/>
    </row>
    <row r="17" spans="1:5" ht="15.95" customHeight="1" x14ac:dyDescent="0.2">
      <c r="A17" s="94" t="s">
        <v>195</v>
      </c>
      <c r="B17" s="158"/>
      <c r="C17" s="158"/>
      <c r="D17" s="158"/>
      <c r="E17" s="158"/>
    </row>
    <row r="18" spans="1:5" ht="15.95" customHeight="1" x14ac:dyDescent="0.2">
      <c r="A18" s="515" t="s">
        <v>135</v>
      </c>
      <c r="B18" s="158"/>
      <c r="C18" s="158"/>
      <c r="D18" s="158"/>
      <c r="E18" s="158"/>
    </row>
    <row r="19" spans="1:5" ht="15.95" customHeight="1" x14ac:dyDescent="0.2">
      <c r="A19" s="405" t="s">
        <v>203</v>
      </c>
      <c r="B19" s="158"/>
      <c r="C19" s="158"/>
      <c r="D19" s="158"/>
      <c r="E19" s="158"/>
    </row>
    <row r="20" spans="1:5" ht="15.95" customHeight="1" x14ac:dyDescent="0.2">
      <c r="A20" s="517" t="s">
        <v>205</v>
      </c>
      <c r="B20" s="158"/>
      <c r="C20" s="158"/>
      <c r="D20" s="158"/>
      <c r="E20" s="158"/>
    </row>
    <row r="21" spans="1:5" ht="15.95" customHeight="1" x14ac:dyDescent="0.2">
      <c r="A21" s="517" t="s">
        <v>204</v>
      </c>
      <c r="B21" s="158"/>
      <c r="C21" s="158"/>
      <c r="D21" s="158"/>
      <c r="E21" s="158"/>
    </row>
    <row r="22" spans="1:5" ht="15.95" customHeight="1" x14ac:dyDescent="0.2">
      <c r="A22" s="517" t="s">
        <v>202</v>
      </c>
      <c r="B22" s="158"/>
      <c r="C22" s="158"/>
      <c r="D22" s="158"/>
      <c r="E22" s="158"/>
    </row>
    <row r="23" spans="1:5" ht="15.95" customHeight="1" x14ac:dyDescent="0.2">
      <c r="A23" s="517" t="s">
        <v>207</v>
      </c>
      <c r="B23" s="158"/>
      <c r="C23" s="158"/>
      <c r="D23" s="158"/>
      <c r="E23" s="158"/>
    </row>
    <row r="24" spans="1:5" ht="6" customHeight="1" x14ac:dyDescent="0.2">
      <c r="A24" s="517"/>
      <c r="B24" s="158"/>
      <c r="C24" s="158"/>
      <c r="D24" s="158"/>
      <c r="E24" s="158"/>
    </row>
    <row r="25" spans="1:5" ht="15.95" customHeight="1" x14ac:dyDescent="0.2">
      <c r="A25" s="515" t="s">
        <v>136</v>
      </c>
      <c r="B25" s="158"/>
      <c r="C25" s="158"/>
      <c r="D25" s="158"/>
      <c r="E25" s="158"/>
    </row>
    <row r="26" spans="1:5" ht="15.95" customHeight="1" x14ac:dyDescent="0.2">
      <c r="A26" s="405" t="s">
        <v>384</v>
      </c>
      <c r="B26" s="158"/>
      <c r="C26" s="158"/>
      <c r="D26" s="158"/>
      <c r="E26" s="158"/>
    </row>
    <row r="27" spans="1:5" ht="15.95" customHeight="1" x14ac:dyDescent="0.2">
      <c r="A27" s="405" t="s">
        <v>385</v>
      </c>
      <c r="B27" s="158"/>
      <c r="C27" s="158"/>
      <c r="D27" s="158"/>
      <c r="E27" s="158"/>
    </row>
    <row r="28" spans="1:5" ht="15.95" customHeight="1" x14ac:dyDescent="0.2">
      <c r="A28" s="405" t="s">
        <v>381</v>
      </c>
      <c r="B28" s="158"/>
      <c r="C28" s="158"/>
      <c r="D28" s="158"/>
      <c r="E28" s="158"/>
    </row>
    <row r="29" spans="1:5" ht="15.95" customHeight="1" x14ac:dyDescent="0.2">
      <c r="A29" s="518" t="s">
        <v>365</v>
      </c>
      <c r="B29" s="158"/>
      <c r="C29" s="158"/>
      <c r="D29" s="158"/>
      <c r="E29" s="158"/>
    </row>
    <row r="30" spans="1:5" ht="15.95" customHeight="1" x14ac:dyDescent="0.2">
      <c r="A30" s="518" t="s">
        <v>364</v>
      </c>
      <c r="B30" s="158"/>
      <c r="C30" s="158"/>
      <c r="D30" s="158"/>
      <c r="E30" s="158"/>
    </row>
    <row r="31" spans="1:5" ht="15.95" customHeight="1" x14ac:dyDescent="0.2">
      <c r="A31" s="518" t="s">
        <v>383</v>
      </c>
      <c r="B31" s="158"/>
      <c r="C31" s="158"/>
      <c r="D31" s="158"/>
      <c r="E31" s="158"/>
    </row>
    <row r="32" spans="1:5" ht="15.95" customHeight="1" x14ac:dyDescent="0.2">
      <c r="A32" s="518" t="s">
        <v>382</v>
      </c>
      <c r="B32" s="158"/>
      <c r="C32" s="158"/>
      <c r="D32" s="158"/>
      <c r="E32" s="158"/>
    </row>
    <row r="33" spans="1:5" ht="15.95" customHeight="1" x14ac:dyDescent="0.2">
      <c r="A33" s="518" t="s">
        <v>386</v>
      </c>
      <c r="B33" s="158"/>
      <c r="C33" s="158"/>
      <c r="D33" s="158"/>
      <c r="E33" s="158"/>
    </row>
    <row r="34" spans="1:5" ht="15.95" customHeight="1" x14ac:dyDescent="0.2">
      <c r="A34" s="518" t="s">
        <v>387</v>
      </c>
      <c r="B34" s="158"/>
      <c r="C34" s="158"/>
      <c r="D34" s="158"/>
      <c r="E34" s="158"/>
    </row>
    <row r="35" spans="1:5" ht="15.75" customHeight="1" x14ac:dyDescent="0.2">
      <c r="A35" s="361" t="s">
        <v>379</v>
      </c>
      <c r="B35" s="158"/>
      <c r="C35" s="158"/>
      <c r="D35" s="158"/>
      <c r="E35" s="158"/>
    </row>
    <row r="36" spans="1:5" ht="15.75" customHeight="1" x14ac:dyDescent="0.2">
      <c r="A36" s="519" t="s">
        <v>216</v>
      </c>
      <c r="B36" s="158"/>
      <c r="C36" s="158"/>
      <c r="D36" s="158"/>
      <c r="E36" s="158"/>
    </row>
    <row r="37" spans="1:5" ht="15.75" customHeight="1" x14ac:dyDescent="0.2">
      <c r="A37" s="405" t="s">
        <v>380</v>
      </c>
      <c r="B37" s="158"/>
      <c r="C37" s="158"/>
      <c r="D37" s="158"/>
      <c r="E37" s="158"/>
    </row>
    <row r="38" spans="1:5" ht="15.95" customHeight="1" x14ac:dyDescent="0.2">
      <c r="A38" s="515" t="s">
        <v>191</v>
      </c>
      <c r="B38" s="158"/>
      <c r="C38" s="158"/>
      <c r="D38" s="158"/>
      <c r="E38" s="158"/>
    </row>
    <row r="39" spans="1:5" ht="15.95" customHeight="1" x14ac:dyDescent="0.2">
      <c r="A39" s="519" t="s">
        <v>201</v>
      </c>
      <c r="B39" s="158"/>
      <c r="C39" s="158"/>
      <c r="D39" s="158"/>
      <c r="E39" s="158"/>
    </row>
    <row r="40" spans="1:5" ht="6" customHeight="1" x14ac:dyDescent="0.2">
      <c r="A40" s="405"/>
      <c r="B40" s="158"/>
      <c r="C40" s="158"/>
      <c r="D40" s="158"/>
      <c r="E40" s="158"/>
    </row>
    <row r="41" spans="1:5" ht="15.95" customHeight="1" x14ac:dyDescent="0.2">
      <c r="A41" s="515" t="s">
        <v>231</v>
      </c>
      <c r="B41" s="158"/>
      <c r="C41" s="158"/>
      <c r="D41" s="158"/>
      <c r="E41" s="158"/>
    </row>
    <row r="42" spans="1:5" ht="15.95" customHeight="1" x14ac:dyDescent="0.2">
      <c r="A42" s="405" t="s">
        <v>223</v>
      </c>
      <c r="B42" s="158"/>
      <c r="C42" s="158"/>
      <c r="D42" s="158"/>
      <c r="E42" s="158"/>
    </row>
    <row r="43" spans="1:5" ht="15.95" customHeight="1" x14ac:dyDescent="0.2">
      <c r="A43" s="405" t="s">
        <v>194</v>
      </c>
      <c r="B43" s="158"/>
      <c r="C43" s="158"/>
      <c r="D43" s="158"/>
      <c r="E43" s="158"/>
    </row>
    <row r="44" spans="1:5" ht="15.95" customHeight="1" x14ac:dyDescent="0.2">
      <c r="A44" s="405" t="s">
        <v>233</v>
      </c>
      <c r="B44" s="158"/>
      <c r="C44" s="158"/>
      <c r="D44" s="158"/>
      <c r="E44" s="158"/>
    </row>
    <row r="45" spans="1:5" ht="15.95" customHeight="1" x14ac:dyDescent="0.2">
      <c r="A45" s="405" t="s">
        <v>232</v>
      </c>
      <c r="B45" s="158"/>
      <c r="C45" s="158"/>
      <c r="D45" s="158"/>
      <c r="E45" s="158"/>
    </row>
    <row r="46" spans="1:5" ht="8.1" customHeight="1" x14ac:dyDescent="0.2">
      <c r="A46" s="405"/>
      <c r="B46" s="158"/>
      <c r="C46" s="158"/>
      <c r="D46" s="158"/>
      <c r="E46" s="158"/>
    </row>
    <row r="47" spans="1:5" ht="15.95" customHeight="1" x14ac:dyDescent="0.2">
      <c r="A47" s="405" t="s">
        <v>192</v>
      </c>
      <c r="B47" s="158"/>
      <c r="C47" s="158"/>
      <c r="D47" s="158"/>
      <c r="E47" s="158"/>
    </row>
    <row r="48" spans="1:5" ht="15.95" customHeight="1" x14ac:dyDescent="0.2">
      <c r="A48" s="405" t="s">
        <v>190</v>
      </c>
      <c r="B48" s="158"/>
      <c r="C48" s="158"/>
      <c r="D48" s="158"/>
      <c r="E48" s="158"/>
    </row>
    <row r="49" spans="1:5" ht="6" customHeight="1" x14ac:dyDescent="0.2">
      <c r="A49" s="405"/>
      <c r="B49" s="158"/>
      <c r="C49" s="158"/>
      <c r="D49" s="158"/>
      <c r="E49" s="158"/>
    </row>
    <row r="50" spans="1:5" ht="15.95" customHeight="1" x14ac:dyDescent="0.2">
      <c r="A50" s="405" t="s">
        <v>198</v>
      </c>
      <c r="B50" s="158"/>
      <c r="C50" s="158"/>
      <c r="D50" s="158"/>
      <c r="E50" s="158"/>
    </row>
    <row r="51" spans="1:5" ht="15.95" customHeight="1" x14ac:dyDescent="0.2">
      <c r="A51" s="405" t="s">
        <v>199</v>
      </c>
      <c r="B51" s="158"/>
      <c r="C51" s="158"/>
      <c r="D51" s="158"/>
      <c r="E51" s="158"/>
    </row>
    <row r="52" spans="1:5" ht="15.95" customHeight="1" x14ac:dyDescent="0.2">
      <c r="A52" s="405" t="s">
        <v>196</v>
      </c>
      <c r="B52" s="158"/>
      <c r="C52" s="158"/>
      <c r="D52" s="158"/>
      <c r="E52" s="158"/>
    </row>
    <row r="53" spans="1:5" ht="15.95" customHeight="1" x14ac:dyDescent="0.2">
      <c r="A53" s="405" t="s">
        <v>206</v>
      </c>
      <c r="B53" s="158"/>
      <c r="C53" s="158"/>
      <c r="D53" s="158"/>
      <c r="E53" s="158"/>
    </row>
    <row r="54" spans="1:5" ht="6" customHeight="1" x14ac:dyDescent="0.2">
      <c r="A54" s="405"/>
      <c r="B54" s="158"/>
      <c r="C54" s="158"/>
      <c r="D54" s="158"/>
      <c r="E54" s="158"/>
    </row>
    <row r="55" spans="1:5" ht="15.95" customHeight="1" x14ac:dyDescent="0.2">
      <c r="A55" s="515" t="s">
        <v>337</v>
      </c>
      <c r="B55" s="158"/>
      <c r="C55" s="158"/>
      <c r="D55" s="158"/>
      <c r="E55" s="158"/>
    </row>
    <row r="56" spans="1:5" ht="15.95" customHeight="1" x14ac:dyDescent="0.2">
      <c r="A56" s="405"/>
      <c r="B56" s="158"/>
      <c r="C56" s="158"/>
      <c r="D56" s="158"/>
      <c r="E56" s="158"/>
    </row>
    <row r="57" spans="1:5" x14ac:dyDescent="0.2">
      <c r="A57" s="158"/>
      <c r="B57" s="158"/>
      <c r="C57" s="158"/>
      <c r="D57" s="158"/>
      <c r="E57" s="158"/>
    </row>
    <row r="58" spans="1:5" x14ac:dyDescent="0.2">
      <c r="A58" s="158"/>
      <c r="B58" s="158"/>
      <c r="C58" s="158"/>
      <c r="D58" s="158"/>
      <c r="E58" s="158"/>
    </row>
  </sheetData>
  <sheetProtection sheet="1"/>
  <phoneticPr fontId="0" type="noConversion"/>
  <pageMargins left="0.59055118110236227" right="0" top="0.19685039370078741" bottom="0" header="0" footer="0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10</vt:i4>
      </vt:variant>
      <vt:variant>
        <vt:lpstr>Benannte Bereiche</vt:lpstr>
      </vt:variant>
      <vt:variant>
        <vt:i4>11</vt:i4>
      </vt:variant>
    </vt:vector>
  </HeadingPairs>
  <TitlesOfParts>
    <vt:vector size="21" baseType="lpstr">
      <vt:lpstr>Vorgaben</vt:lpstr>
      <vt:lpstr>SchILD-Export</vt:lpstr>
      <vt:lpstr>Deutsch</vt:lpstr>
      <vt:lpstr>Fremdsprache</vt:lpstr>
      <vt:lpstr>Mathematik</vt:lpstr>
      <vt:lpstr>Übersicht</vt:lpstr>
      <vt:lpstr>Mitteilungen</vt:lpstr>
      <vt:lpstr>Muster</vt:lpstr>
      <vt:lpstr>mdl Prf</vt:lpstr>
      <vt:lpstr>Anleitung</vt:lpstr>
      <vt:lpstr>Anleitung!Druckbereich</vt:lpstr>
      <vt:lpstr>Deutsch!Druckbereich</vt:lpstr>
      <vt:lpstr>Fremdsprache!Druckbereich</vt:lpstr>
      <vt:lpstr>Mathematik!Druckbereich</vt:lpstr>
      <vt:lpstr>'mdl Prf'!Druckbereich</vt:lpstr>
      <vt:lpstr>Mitteilungen!Druckbereich</vt:lpstr>
      <vt:lpstr>Muster!Druckbereich</vt:lpstr>
      <vt:lpstr>'SchILD-Export'!Druckbereich</vt:lpstr>
      <vt:lpstr>Übersicht!Druckbereich</vt:lpstr>
      <vt:lpstr>Vorgaben!Druckbereich</vt:lpstr>
      <vt:lpstr>'mdl Prf'!OLE_LINK1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Maßmann</dc:creator>
  <cp:lastModifiedBy>MHoebig</cp:lastModifiedBy>
  <cp:lastPrinted>2008-05-28T08:57:31Z</cp:lastPrinted>
  <dcterms:created xsi:type="dcterms:W3CDTF">2006-09-19T14:01:55Z</dcterms:created>
  <dcterms:modified xsi:type="dcterms:W3CDTF">2019-03-12T08:48:51Z</dcterms:modified>
</cp:coreProperties>
</file>